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VAT and Month End/2025-26/Monthly Reporting/"/>
    </mc:Choice>
  </mc:AlternateContent>
  <xr:revisionPtr revIDLastSave="325" documentId="13_ncr:1_{421FDF8F-1C5E-4AFF-A039-9163E64CB9EF}" xr6:coauthVersionLast="47" xr6:coauthVersionMax="47" xr10:uidLastSave="{E364234B-95C8-47CD-9AA0-56B008D8F3E5}"/>
  <bookViews>
    <workbookView xWindow="28680" yWindow="-120" windowWidth="29040" windowHeight="15720" activeTab="1" xr2:uid="{7A8EF351-9D46-4010-BB9E-9E3A7EA545FC}"/>
  </bookViews>
  <sheets>
    <sheet name="Data" sheetId="1" r:id="rId1"/>
    <sheet name="Charts" sheetId="3" r:id="rId2"/>
    <sheet name="Charts for individual print" sheetId="4" r:id="rId3"/>
  </sheets>
  <definedNames>
    <definedName name="_xlnm.Print_Titles" localSheetId="2">'Charts for individual print'!$1:$1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40" i="3" l="1"/>
  <c r="O32" i="1"/>
  <c r="N32" i="1"/>
  <c r="M32" i="1"/>
  <c r="O48" i="1"/>
  <c r="D49" i="1"/>
  <c r="E49" i="1"/>
  <c r="F49" i="1"/>
  <c r="G49" i="1"/>
  <c r="H49" i="1"/>
  <c r="I49" i="1"/>
  <c r="J49" i="1"/>
  <c r="K49" i="1"/>
  <c r="L49" i="1"/>
  <c r="M49" i="1"/>
  <c r="N49" i="1"/>
  <c r="O49" i="1"/>
  <c r="M38" i="3"/>
  <c r="L32" i="1"/>
  <c r="K32" i="1" l="1"/>
  <c r="M48" i="1"/>
  <c r="N48" i="1" s="1"/>
  <c r="O47" i="1"/>
  <c r="N47" i="1"/>
  <c r="M47" i="1"/>
  <c r="L47" i="1"/>
  <c r="K47" i="1"/>
  <c r="J47" i="1"/>
  <c r="O46" i="1"/>
  <c r="N46" i="1"/>
  <c r="M46" i="1"/>
  <c r="L46" i="1"/>
  <c r="K46" i="1"/>
  <c r="J46" i="1"/>
  <c r="O45" i="1"/>
  <c r="N45" i="1"/>
  <c r="M45" i="1"/>
  <c r="L45" i="1"/>
  <c r="K45" i="1"/>
  <c r="J45" i="1"/>
  <c r="K44" i="1"/>
  <c r="L44" i="1"/>
  <c r="M44" i="1" s="1"/>
  <c r="N44" i="1" s="1"/>
  <c r="O44" i="1" s="1"/>
  <c r="J44" i="1"/>
  <c r="O43" i="1"/>
  <c r="N43" i="1"/>
  <c r="M43" i="1"/>
  <c r="L43" i="1"/>
  <c r="K43" i="1"/>
  <c r="J43" i="1"/>
  <c r="O42" i="1"/>
  <c r="N42" i="1"/>
  <c r="M42" i="1"/>
  <c r="L42" i="1"/>
  <c r="K42" i="1"/>
  <c r="J42" i="1"/>
  <c r="O41" i="1"/>
  <c r="N41" i="1"/>
  <c r="M41" i="1"/>
  <c r="L41" i="1"/>
  <c r="K41" i="1"/>
  <c r="J41" i="1"/>
  <c r="O40" i="1"/>
  <c r="N40" i="1"/>
  <c r="M40" i="1"/>
  <c r="L40" i="1"/>
  <c r="K40" i="1"/>
  <c r="J40" i="1"/>
  <c r="O39" i="1"/>
  <c r="N39" i="1"/>
  <c r="M39" i="1"/>
  <c r="L39" i="1"/>
  <c r="K39" i="1"/>
  <c r="J39" i="1"/>
  <c r="J32" i="1"/>
  <c r="J13" i="1" l="1"/>
  <c r="I13" i="1"/>
  <c r="K13" i="1" l="1"/>
  <c r="L13" i="1" s="1"/>
  <c r="I32" i="1"/>
  <c r="G13" i="1"/>
  <c r="M13" i="3"/>
  <c r="M35" i="3"/>
  <c r="G30" i="1" l="1"/>
  <c r="H32" i="1"/>
  <c r="G27" i="1"/>
  <c r="G26" i="1"/>
  <c r="G25" i="1" l="1"/>
  <c r="D13" i="1"/>
  <c r="E13" i="1" s="1"/>
  <c r="D9" i="1"/>
  <c r="E9" i="1" s="1"/>
  <c r="F9" i="1" s="1"/>
  <c r="G9" i="1" s="1"/>
  <c r="H9" i="1" s="1"/>
  <c r="I9" i="1" s="1"/>
  <c r="S9" i="1"/>
  <c r="T9" i="1"/>
  <c r="M41" i="3"/>
  <c r="M40" i="3"/>
  <c r="M39" i="3"/>
  <c r="M37" i="3"/>
  <c r="M36" i="3"/>
  <c r="M34" i="3"/>
  <c r="M31" i="3"/>
  <c r="M30" i="3"/>
  <c r="E12" i="1"/>
  <c r="F12" i="1" s="1"/>
  <c r="G12" i="1" s="1"/>
  <c r="H12" i="1" s="1"/>
  <c r="D12" i="1"/>
  <c r="U12" i="1"/>
  <c r="T12" i="1"/>
  <c r="U11" i="1"/>
  <c r="S11" i="1"/>
  <c r="D11" i="1"/>
  <c r="E11" i="1" s="1"/>
  <c r="F11" i="1" s="1"/>
  <c r="G11" i="1" s="1"/>
  <c r="H11" i="1" s="1"/>
  <c r="I11" i="1" s="1"/>
  <c r="D10" i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X9" i="1"/>
  <c r="U9" i="1"/>
  <c r="D8" i="1"/>
  <c r="E8" i="1" s="1"/>
  <c r="F8" i="1" s="1"/>
  <c r="G8" i="1" s="1"/>
  <c r="H8" i="1" s="1"/>
  <c r="I8" i="1" s="1"/>
  <c r="J8" i="1" s="1"/>
  <c r="K8" i="1" s="1"/>
  <c r="L8" i="1" s="1"/>
  <c r="M8" i="1" s="1"/>
  <c r="N8" i="1" s="1"/>
  <c r="O8" i="1" s="1"/>
  <c r="D7" i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D6" i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  <c r="D5" i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D4" i="1"/>
  <c r="E4" i="1"/>
  <c r="F4" i="1" s="1"/>
  <c r="G4" i="1" s="1"/>
  <c r="H4" i="1" s="1"/>
  <c r="I4" i="1" s="1"/>
  <c r="J4" i="1" s="1"/>
  <c r="K4" i="1" s="1"/>
  <c r="L4" i="1" s="1"/>
  <c r="M4" i="1" s="1"/>
  <c r="N4" i="1" s="1"/>
  <c r="O4" i="1" s="1"/>
  <c r="S12" i="1"/>
  <c r="I12" i="1" l="1"/>
  <c r="J12" i="1" s="1"/>
  <c r="K12" i="1" s="1"/>
  <c r="L12" i="1" s="1"/>
  <c r="M12" i="1" s="1"/>
  <c r="N12" i="1" s="1"/>
  <c r="O12" i="1" s="1"/>
  <c r="J11" i="1"/>
  <c r="K11" i="1" s="1"/>
  <c r="L11" i="1" s="1"/>
  <c r="M11" i="1" s="1"/>
  <c r="N11" i="1" s="1"/>
  <c r="O11" i="1" s="1"/>
  <c r="J9" i="1"/>
  <c r="K9" i="1" s="1"/>
  <c r="L9" i="1" s="1"/>
  <c r="M9" i="1" s="1"/>
  <c r="N9" i="1" s="1"/>
  <c r="O9" i="1" s="1"/>
  <c r="F13" i="1" l="1"/>
  <c r="H13" i="1" s="1"/>
  <c r="M13" i="1" l="1"/>
  <c r="N13" i="1" s="1"/>
  <c r="O13" i="1" s="1"/>
  <c r="F30" i="1"/>
  <c r="M32" i="3" s="1"/>
  <c r="F31" i="1"/>
  <c r="F27" i="1" l="1"/>
  <c r="M261" i="3"/>
  <c r="N261" i="3" s="1"/>
  <c r="M260" i="3"/>
  <c r="N260" i="3" s="1"/>
  <c r="M259" i="3"/>
  <c r="M258" i="3"/>
  <c r="N258" i="3" s="1"/>
  <c r="M257" i="3"/>
  <c r="N257" i="3" s="1"/>
  <c r="M256" i="3"/>
  <c r="N256" i="3" s="1"/>
  <c r="M255" i="3"/>
  <c r="N255" i="3" s="1"/>
  <c r="M254" i="3"/>
  <c r="M253" i="3"/>
  <c r="M252" i="3"/>
  <c r="M251" i="3"/>
  <c r="N251" i="3" s="1"/>
  <c r="M250" i="3"/>
  <c r="N250" i="3" s="1"/>
  <c r="N259" i="3"/>
  <c r="N254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F25" i="1"/>
  <c r="N253" i="3" l="1"/>
  <c r="N252" i="3"/>
  <c r="F26" i="1"/>
  <c r="M239" i="4"/>
  <c r="N239" i="4" s="1"/>
  <c r="L239" i="4"/>
  <c r="K239" i="4"/>
  <c r="M238" i="4"/>
  <c r="N238" i="4" s="1"/>
  <c r="L238" i="4"/>
  <c r="K238" i="4"/>
  <c r="M237" i="4"/>
  <c r="N237" i="4" s="1"/>
  <c r="L237" i="4"/>
  <c r="K237" i="4"/>
  <c r="M236" i="4"/>
  <c r="N236" i="4" s="1"/>
  <c r="L236" i="4"/>
  <c r="K236" i="4"/>
  <c r="M235" i="4"/>
  <c r="N235" i="4" s="1"/>
  <c r="L235" i="4"/>
  <c r="K235" i="4"/>
  <c r="M234" i="4"/>
  <c r="L234" i="4"/>
  <c r="K234" i="4"/>
  <c r="M233" i="4"/>
  <c r="N233" i="4" s="1"/>
  <c r="L233" i="4"/>
  <c r="K233" i="4"/>
  <c r="M232" i="4"/>
  <c r="N232" i="4" s="1"/>
  <c r="L232" i="4"/>
  <c r="K232" i="4"/>
  <c r="M231" i="4"/>
  <c r="L231" i="4"/>
  <c r="K231" i="4"/>
  <c r="M230" i="4"/>
  <c r="L230" i="4"/>
  <c r="K230" i="4"/>
  <c r="M229" i="4"/>
  <c r="L229" i="4"/>
  <c r="K229" i="4"/>
  <c r="M228" i="4"/>
  <c r="L228" i="4"/>
  <c r="K228" i="4"/>
  <c r="M217" i="4"/>
  <c r="N217" i="4" s="1"/>
  <c r="L217" i="4"/>
  <c r="K217" i="4"/>
  <c r="M216" i="4"/>
  <c r="N216" i="4" s="1"/>
  <c r="L216" i="4"/>
  <c r="K216" i="4"/>
  <c r="M215" i="4"/>
  <c r="N215" i="4" s="1"/>
  <c r="L215" i="4"/>
  <c r="K215" i="4"/>
  <c r="M214" i="4"/>
  <c r="N214" i="4" s="1"/>
  <c r="L214" i="4"/>
  <c r="K214" i="4"/>
  <c r="M213" i="4"/>
  <c r="N213" i="4" s="1"/>
  <c r="L213" i="4"/>
  <c r="K213" i="4"/>
  <c r="M212" i="4"/>
  <c r="L212" i="4"/>
  <c r="K212" i="4"/>
  <c r="M211" i="4"/>
  <c r="N211" i="4" s="1"/>
  <c r="L211" i="4"/>
  <c r="K211" i="4"/>
  <c r="M210" i="4"/>
  <c r="L210" i="4"/>
  <c r="K210" i="4"/>
  <c r="M209" i="4"/>
  <c r="L209" i="4"/>
  <c r="K209" i="4"/>
  <c r="M208" i="4"/>
  <c r="L208" i="4"/>
  <c r="K208" i="4"/>
  <c r="M207" i="4"/>
  <c r="L207" i="4"/>
  <c r="K207" i="4"/>
  <c r="M206" i="4"/>
  <c r="L206" i="4"/>
  <c r="K206" i="4"/>
  <c r="M195" i="4"/>
  <c r="N195" i="4" s="1"/>
  <c r="L195" i="4"/>
  <c r="K195" i="4"/>
  <c r="M194" i="4"/>
  <c r="N194" i="4" s="1"/>
  <c r="L194" i="4"/>
  <c r="K194" i="4"/>
  <c r="M193" i="4"/>
  <c r="N193" i="4" s="1"/>
  <c r="L193" i="4"/>
  <c r="K193" i="4"/>
  <c r="M192" i="4"/>
  <c r="N192" i="4" s="1"/>
  <c r="L192" i="4"/>
  <c r="K192" i="4"/>
  <c r="M191" i="4"/>
  <c r="N191" i="4" s="1"/>
  <c r="L191" i="4"/>
  <c r="K191" i="4"/>
  <c r="M190" i="4"/>
  <c r="L190" i="4"/>
  <c r="K190" i="4"/>
  <c r="M189" i="4"/>
  <c r="N189" i="4" s="1"/>
  <c r="L189" i="4"/>
  <c r="K189" i="4"/>
  <c r="M188" i="4"/>
  <c r="N188" i="4" s="1"/>
  <c r="L188" i="4"/>
  <c r="K188" i="4"/>
  <c r="M187" i="4"/>
  <c r="L187" i="4"/>
  <c r="K187" i="4"/>
  <c r="M186" i="4"/>
  <c r="L186" i="4"/>
  <c r="K186" i="4"/>
  <c r="L185" i="4"/>
  <c r="K185" i="4"/>
  <c r="L184" i="4"/>
  <c r="K184" i="4"/>
  <c r="M173" i="4"/>
  <c r="N173" i="4" s="1"/>
  <c r="L173" i="4"/>
  <c r="K173" i="4"/>
  <c r="M172" i="4"/>
  <c r="N172" i="4" s="1"/>
  <c r="L172" i="4"/>
  <c r="K172" i="4"/>
  <c r="M171" i="4"/>
  <c r="N171" i="4" s="1"/>
  <c r="L171" i="4"/>
  <c r="K171" i="4"/>
  <c r="M170" i="4"/>
  <c r="N170" i="4" s="1"/>
  <c r="L170" i="4"/>
  <c r="K170" i="4"/>
  <c r="M169" i="4"/>
  <c r="N169" i="4" s="1"/>
  <c r="L169" i="4"/>
  <c r="K169" i="4"/>
  <c r="M168" i="4"/>
  <c r="L168" i="4"/>
  <c r="K168" i="4"/>
  <c r="M167" i="4"/>
  <c r="N167" i="4" s="1"/>
  <c r="L167" i="4"/>
  <c r="K167" i="4"/>
  <c r="M166" i="4"/>
  <c r="N166" i="4" s="1"/>
  <c r="L166" i="4"/>
  <c r="K166" i="4"/>
  <c r="M165" i="4"/>
  <c r="L165" i="4"/>
  <c r="K165" i="4"/>
  <c r="M164" i="4"/>
  <c r="L164" i="4"/>
  <c r="K164" i="4"/>
  <c r="L163" i="4"/>
  <c r="K163" i="4"/>
  <c r="M162" i="4"/>
  <c r="L162" i="4"/>
  <c r="K162" i="4"/>
  <c r="M151" i="4"/>
  <c r="N151" i="4" s="1"/>
  <c r="L151" i="4"/>
  <c r="K151" i="4"/>
  <c r="M150" i="4"/>
  <c r="N150" i="4" s="1"/>
  <c r="L150" i="4"/>
  <c r="K150" i="4"/>
  <c r="M149" i="4"/>
  <c r="N149" i="4" s="1"/>
  <c r="L149" i="4"/>
  <c r="K149" i="4"/>
  <c r="M148" i="4"/>
  <c r="N148" i="4" s="1"/>
  <c r="L148" i="4"/>
  <c r="K148" i="4"/>
  <c r="M147" i="4"/>
  <c r="N147" i="4" s="1"/>
  <c r="L147" i="4"/>
  <c r="K147" i="4"/>
  <c r="M146" i="4"/>
  <c r="N146" i="4" s="1"/>
  <c r="L146" i="4"/>
  <c r="K146" i="4"/>
  <c r="M145" i="4"/>
  <c r="N145" i="4" s="1"/>
  <c r="L145" i="4"/>
  <c r="K145" i="4"/>
  <c r="M144" i="4"/>
  <c r="N144" i="4" s="1"/>
  <c r="L144" i="4"/>
  <c r="K144" i="4"/>
  <c r="M143" i="4"/>
  <c r="L143" i="4"/>
  <c r="K143" i="4"/>
  <c r="M142" i="4"/>
  <c r="L142" i="4"/>
  <c r="K142" i="4"/>
  <c r="L141" i="4"/>
  <c r="K141" i="4"/>
  <c r="L140" i="4"/>
  <c r="K140" i="4"/>
  <c r="M129" i="4"/>
  <c r="N129" i="4" s="1"/>
  <c r="L129" i="4"/>
  <c r="K129" i="4"/>
  <c r="M128" i="4"/>
  <c r="N128" i="4" s="1"/>
  <c r="L128" i="4"/>
  <c r="K128" i="4"/>
  <c r="M127" i="4"/>
  <c r="N127" i="4" s="1"/>
  <c r="L127" i="4"/>
  <c r="K127" i="4"/>
  <c r="M126" i="4"/>
  <c r="N126" i="4" s="1"/>
  <c r="L126" i="4"/>
  <c r="K126" i="4"/>
  <c r="M125" i="4"/>
  <c r="N125" i="4" s="1"/>
  <c r="L125" i="4"/>
  <c r="K125" i="4"/>
  <c r="M124" i="4"/>
  <c r="L124" i="4"/>
  <c r="K124" i="4"/>
  <c r="M123" i="4"/>
  <c r="L123" i="4"/>
  <c r="K123" i="4"/>
  <c r="M122" i="4"/>
  <c r="L122" i="4"/>
  <c r="K122" i="4"/>
  <c r="M121" i="4"/>
  <c r="L121" i="4"/>
  <c r="K121" i="4"/>
  <c r="M120" i="4"/>
  <c r="L120" i="4"/>
  <c r="K120" i="4"/>
  <c r="M119" i="4"/>
  <c r="L119" i="4"/>
  <c r="K119" i="4"/>
  <c r="M118" i="4"/>
  <c r="L118" i="4"/>
  <c r="K118" i="4"/>
  <c r="M107" i="4"/>
  <c r="N107" i="4" s="1"/>
  <c r="L107" i="4"/>
  <c r="K107" i="4"/>
  <c r="M106" i="4"/>
  <c r="N106" i="4" s="1"/>
  <c r="L106" i="4"/>
  <c r="K106" i="4"/>
  <c r="M105" i="4"/>
  <c r="N105" i="4" s="1"/>
  <c r="L105" i="4"/>
  <c r="K105" i="4"/>
  <c r="M104" i="4"/>
  <c r="N104" i="4" s="1"/>
  <c r="L104" i="4"/>
  <c r="K104" i="4"/>
  <c r="M103" i="4"/>
  <c r="N103" i="4" s="1"/>
  <c r="L103" i="4"/>
  <c r="K103" i="4"/>
  <c r="M102" i="4"/>
  <c r="L102" i="4"/>
  <c r="K102" i="4"/>
  <c r="M101" i="4"/>
  <c r="N101" i="4" s="1"/>
  <c r="L101" i="4"/>
  <c r="K101" i="4"/>
  <c r="M100" i="4"/>
  <c r="L100" i="4"/>
  <c r="K100" i="4"/>
  <c r="M99" i="4"/>
  <c r="L99" i="4"/>
  <c r="K99" i="4"/>
  <c r="M98" i="4"/>
  <c r="L98" i="4"/>
  <c r="K98" i="4"/>
  <c r="M97" i="4"/>
  <c r="L97" i="4"/>
  <c r="K97" i="4"/>
  <c r="M96" i="4"/>
  <c r="L96" i="4"/>
  <c r="K96" i="4"/>
  <c r="M85" i="4"/>
  <c r="N85" i="4" s="1"/>
  <c r="L85" i="4"/>
  <c r="K85" i="4"/>
  <c r="M84" i="4"/>
  <c r="N84" i="4" s="1"/>
  <c r="L84" i="4"/>
  <c r="K84" i="4"/>
  <c r="M83" i="4"/>
  <c r="N83" i="4" s="1"/>
  <c r="L83" i="4"/>
  <c r="K83" i="4"/>
  <c r="M82" i="4"/>
  <c r="N82" i="4" s="1"/>
  <c r="L82" i="4"/>
  <c r="K82" i="4"/>
  <c r="M81" i="4"/>
  <c r="N81" i="4" s="1"/>
  <c r="L81" i="4"/>
  <c r="K81" i="4"/>
  <c r="M80" i="4"/>
  <c r="L80" i="4"/>
  <c r="K80" i="4"/>
  <c r="M79" i="4"/>
  <c r="L79" i="4"/>
  <c r="K79" i="4"/>
  <c r="M78" i="4"/>
  <c r="N78" i="4" s="1"/>
  <c r="L78" i="4"/>
  <c r="K78" i="4"/>
  <c r="M77" i="4"/>
  <c r="L77" i="4"/>
  <c r="K77" i="4"/>
  <c r="M76" i="4"/>
  <c r="L76" i="4"/>
  <c r="K76" i="4"/>
  <c r="M75" i="4"/>
  <c r="L75" i="4"/>
  <c r="K75" i="4"/>
  <c r="M74" i="4"/>
  <c r="L74" i="4"/>
  <c r="K74" i="4"/>
  <c r="M63" i="4"/>
  <c r="N63" i="4" s="1"/>
  <c r="L63" i="4"/>
  <c r="K63" i="4"/>
  <c r="M62" i="4"/>
  <c r="N62" i="4" s="1"/>
  <c r="L62" i="4"/>
  <c r="K62" i="4"/>
  <c r="M61" i="4"/>
  <c r="N61" i="4" s="1"/>
  <c r="L61" i="4"/>
  <c r="K61" i="4"/>
  <c r="M60" i="4"/>
  <c r="N60" i="4" s="1"/>
  <c r="L60" i="4"/>
  <c r="K60" i="4"/>
  <c r="M59" i="4"/>
  <c r="N59" i="4" s="1"/>
  <c r="L59" i="4"/>
  <c r="K59" i="4"/>
  <c r="M58" i="4"/>
  <c r="N58" i="4" s="1"/>
  <c r="L58" i="4"/>
  <c r="K58" i="4"/>
  <c r="M57" i="4"/>
  <c r="N57" i="4" s="1"/>
  <c r="L57" i="4"/>
  <c r="K57" i="4"/>
  <c r="M56" i="4"/>
  <c r="L56" i="4"/>
  <c r="K56" i="4"/>
  <c r="M55" i="4"/>
  <c r="L55" i="4"/>
  <c r="K55" i="4"/>
  <c r="M54" i="4"/>
  <c r="L54" i="4"/>
  <c r="K54" i="4"/>
  <c r="M53" i="4"/>
  <c r="L53" i="4"/>
  <c r="K53" i="4"/>
  <c r="M52" i="4"/>
  <c r="L52" i="4"/>
  <c r="K52" i="4"/>
  <c r="M41" i="4"/>
  <c r="N41" i="4" s="1"/>
  <c r="L41" i="4"/>
  <c r="K41" i="4"/>
  <c r="M40" i="4"/>
  <c r="N40" i="4" s="1"/>
  <c r="L40" i="4"/>
  <c r="K40" i="4"/>
  <c r="M39" i="4"/>
  <c r="N39" i="4" s="1"/>
  <c r="L39" i="4"/>
  <c r="K39" i="4"/>
  <c r="M38" i="4"/>
  <c r="L38" i="4"/>
  <c r="K38" i="4"/>
  <c r="M37" i="4"/>
  <c r="L37" i="4"/>
  <c r="K37" i="4"/>
  <c r="M36" i="4"/>
  <c r="L36" i="4"/>
  <c r="K36" i="4"/>
  <c r="M35" i="4"/>
  <c r="L35" i="4"/>
  <c r="K35" i="4"/>
  <c r="M34" i="4"/>
  <c r="N34" i="4" s="1"/>
  <c r="L34" i="4"/>
  <c r="K34" i="4"/>
  <c r="M33" i="4"/>
  <c r="L33" i="4"/>
  <c r="K33" i="4"/>
  <c r="L32" i="4"/>
  <c r="K32" i="4"/>
  <c r="L31" i="4"/>
  <c r="K31" i="4"/>
  <c r="L30" i="4"/>
  <c r="K30" i="4"/>
  <c r="M19" i="4"/>
  <c r="N19" i="4" s="1"/>
  <c r="L19" i="4"/>
  <c r="M18" i="4"/>
  <c r="N18" i="4" s="1"/>
  <c r="L18" i="4"/>
  <c r="M17" i="4"/>
  <c r="N17" i="4" s="1"/>
  <c r="L17" i="4"/>
  <c r="M16" i="4"/>
  <c r="N16" i="4" s="1"/>
  <c r="L16" i="4"/>
  <c r="M15" i="4"/>
  <c r="L15" i="4"/>
  <c r="M14" i="4"/>
  <c r="L14" i="4"/>
  <c r="M13" i="4"/>
  <c r="L13" i="4"/>
  <c r="M12" i="4"/>
  <c r="L12" i="4"/>
  <c r="L11" i="4"/>
  <c r="L10" i="4"/>
  <c r="L9" i="4"/>
  <c r="L8" i="4"/>
  <c r="N14" i="4" l="1"/>
  <c r="N15" i="4"/>
  <c r="N37" i="4"/>
  <c r="N38" i="4"/>
  <c r="N36" i="4"/>
  <c r="N234" i="4"/>
  <c r="N212" i="4"/>
  <c r="N190" i="4"/>
  <c r="N168" i="4"/>
  <c r="N124" i="4"/>
  <c r="N102" i="4"/>
  <c r="N80" i="4"/>
  <c r="N123" i="4"/>
  <c r="N122" i="4"/>
  <c r="N210" i="4"/>
  <c r="N100" i="4"/>
  <c r="N56" i="4"/>
  <c r="N79" i="4"/>
  <c r="N35" i="4"/>
  <c r="N143" i="4"/>
  <c r="N209" i="4"/>
  <c r="N55" i="4"/>
  <c r="N99" i="4"/>
  <c r="N187" i="4"/>
  <c r="N231" i="4"/>
  <c r="N165" i="4"/>
  <c r="N33" i="4"/>
  <c r="N77" i="4"/>
  <c r="N121" i="4"/>
  <c r="N52" i="4"/>
  <c r="N118" i="4"/>
  <c r="N230" i="4"/>
  <c r="N164" i="4"/>
  <c r="N228" i="4"/>
  <c r="N120" i="4"/>
  <c r="N74" i="4"/>
  <c r="N75" i="4"/>
  <c r="N96" i="4"/>
  <c r="N162" i="4"/>
  <c r="N206" i="4"/>
  <c r="N229" i="4"/>
  <c r="N97" i="4"/>
  <c r="N119" i="4"/>
  <c r="N76" i="4"/>
  <c r="N98" i="4"/>
  <c r="N186" i="4"/>
  <c r="N54" i="4"/>
  <c r="N208" i="4"/>
  <c r="N53" i="4"/>
  <c r="N142" i="4"/>
  <c r="N207" i="4"/>
  <c r="F32" i="1"/>
  <c r="M10" i="4" s="1"/>
  <c r="M32" i="4"/>
  <c r="N32" i="4" s="1"/>
  <c r="E25" i="1"/>
  <c r="M141" i="4" s="1"/>
  <c r="N141" i="4" s="1"/>
  <c r="M31" i="4"/>
  <c r="N31" i="4" s="1"/>
  <c r="E26" i="1"/>
  <c r="M163" i="4" s="1"/>
  <c r="N163" i="4" s="1"/>
  <c r="E27" i="1"/>
  <c r="M185" i="4" s="1"/>
  <c r="N185" i="4" s="1"/>
  <c r="E32" i="1" l="1"/>
  <c r="M9" i="4" s="1"/>
  <c r="M30" i="4"/>
  <c r="N30" i="4" s="1"/>
  <c r="D27" i="1"/>
  <c r="M184" i="4" s="1"/>
  <c r="N184" i="4" s="1"/>
  <c r="D25" i="1"/>
  <c r="M140" i="4" s="1"/>
  <c r="N140" i="4" s="1"/>
  <c r="D32" i="1" l="1"/>
  <c r="M8" i="4" s="1"/>
  <c r="C49" i="1"/>
  <c r="O14" i="1"/>
  <c r="K19" i="4" s="1"/>
  <c r="N14" i="1"/>
  <c r="K18" i="4" s="1"/>
  <c r="M14" i="1"/>
  <c r="K17" i="4" s="1"/>
  <c r="L14" i="1"/>
  <c r="K16" i="4" s="1"/>
  <c r="K14" i="1"/>
  <c r="K15" i="4" s="1"/>
  <c r="J14" i="1"/>
  <c r="K14" i="4" s="1"/>
  <c r="I14" i="1"/>
  <c r="K13" i="4" s="1"/>
  <c r="N13" i="4" s="1"/>
  <c r="H14" i="1"/>
  <c r="K12" i="4" s="1"/>
  <c r="N12" i="4" s="1"/>
  <c r="G14" i="1"/>
  <c r="K11" i="4" s="1"/>
  <c r="F14" i="1"/>
  <c r="K10" i="4" s="1"/>
  <c r="N10" i="4" s="1"/>
  <c r="E14" i="1"/>
  <c r="K9" i="4" s="1"/>
  <c r="N9" i="4" s="1"/>
  <c r="D14" i="1"/>
  <c r="K8" i="4" s="1"/>
  <c r="C14" i="1"/>
  <c r="C32" i="1"/>
  <c r="N39" i="3"/>
  <c r="M59" i="3"/>
  <c r="N59" i="3" s="1"/>
  <c r="M60" i="3"/>
  <c r="N60" i="3" s="1"/>
  <c r="M61" i="3"/>
  <c r="N61" i="3" s="1"/>
  <c r="M63" i="3"/>
  <c r="N63" i="3" s="1"/>
  <c r="M52" i="3"/>
  <c r="N40" i="3"/>
  <c r="N41" i="3"/>
  <c r="M53" i="3"/>
  <c r="M54" i="3"/>
  <c r="M55" i="3"/>
  <c r="M56" i="3"/>
  <c r="M57" i="3"/>
  <c r="M58" i="3"/>
  <c r="D3" i="1"/>
  <c r="D20" i="1" s="1"/>
  <c r="D38" i="1" s="1"/>
  <c r="C20" i="1"/>
  <c r="C38" i="1" s="1"/>
  <c r="N8" i="4" l="1"/>
  <c r="M62" i="3"/>
  <c r="N62" i="3" s="1"/>
  <c r="E3" i="1"/>
  <c r="E20" i="1" l="1"/>
  <c r="E38" i="1" s="1"/>
  <c r="F3" i="1"/>
  <c r="M33" i="3" l="1"/>
  <c r="G32" i="1"/>
  <c r="M11" i="4" s="1"/>
  <c r="N11" i="4" s="1"/>
  <c r="G3" i="1"/>
  <c r="F20" i="1"/>
  <c r="F38" i="1" s="1"/>
  <c r="K51" i="1"/>
  <c r="E51" i="1"/>
  <c r="D51" i="1"/>
  <c r="F51" i="1"/>
  <c r="G51" i="1"/>
  <c r="H51" i="1"/>
  <c r="I51" i="1"/>
  <c r="J51" i="1"/>
  <c r="L51" i="1"/>
  <c r="M51" i="1"/>
  <c r="N51" i="1"/>
  <c r="O51" i="1"/>
  <c r="C51" i="1"/>
  <c r="G20" i="1" l="1"/>
  <c r="G38" i="1" s="1"/>
  <c r="H3" i="1"/>
  <c r="L141" i="3"/>
  <c r="L162" i="3"/>
  <c r="M19" i="3"/>
  <c r="N19" i="3" s="1"/>
  <c r="M18" i="3"/>
  <c r="N18" i="3" s="1"/>
  <c r="M17" i="3"/>
  <c r="N17" i="3" s="1"/>
  <c r="M16" i="3"/>
  <c r="N16" i="3" s="1"/>
  <c r="M15" i="3"/>
  <c r="M14" i="3"/>
  <c r="L19" i="3"/>
  <c r="L18" i="3"/>
  <c r="L17" i="3"/>
  <c r="L16" i="3"/>
  <c r="L15" i="3"/>
  <c r="L14" i="3"/>
  <c r="L13" i="3"/>
  <c r="L12" i="3"/>
  <c r="L11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07" i="3"/>
  <c r="K106" i="3"/>
  <c r="K105" i="3"/>
  <c r="K104" i="3"/>
  <c r="K103" i="3"/>
  <c r="K102" i="3"/>
  <c r="K101" i="3"/>
  <c r="K100" i="3"/>
  <c r="K99" i="3"/>
  <c r="K98" i="3"/>
  <c r="K97" i="3"/>
  <c r="K96" i="3"/>
  <c r="L10" i="3"/>
  <c r="L9" i="3"/>
  <c r="L8" i="3"/>
  <c r="L41" i="3"/>
  <c r="L40" i="3"/>
  <c r="L39" i="3"/>
  <c r="L38" i="3"/>
  <c r="N38" i="3" s="1"/>
  <c r="L37" i="3"/>
  <c r="N37" i="3" s="1"/>
  <c r="L36" i="3"/>
  <c r="N36" i="3" s="1"/>
  <c r="L35" i="3"/>
  <c r="L34" i="3"/>
  <c r="L33" i="3"/>
  <c r="N33" i="3" s="1"/>
  <c r="L32" i="3"/>
  <c r="L31" i="3"/>
  <c r="L30" i="3"/>
  <c r="K14" i="3"/>
  <c r="K13" i="3"/>
  <c r="N13" i="3" s="1"/>
  <c r="K12" i="3"/>
  <c r="K11" i="3"/>
  <c r="K10" i="3"/>
  <c r="K9" i="3"/>
  <c r="M239" i="3"/>
  <c r="N239" i="3" s="1"/>
  <c r="M238" i="3"/>
  <c r="N238" i="3" s="1"/>
  <c r="M237" i="3"/>
  <c r="N237" i="3" s="1"/>
  <c r="M236" i="3"/>
  <c r="N236" i="3" s="1"/>
  <c r="M235" i="3"/>
  <c r="N235" i="3" s="1"/>
  <c r="M234" i="3"/>
  <c r="N234" i="3" s="1"/>
  <c r="M233" i="3"/>
  <c r="N233" i="3" s="1"/>
  <c r="M232" i="3"/>
  <c r="N232" i="3" s="1"/>
  <c r="M231" i="3"/>
  <c r="M230" i="3"/>
  <c r="M229" i="3"/>
  <c r="M228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K41" i="3"/>
  <c r="K40" i="3"/>
  <c r="K39" i="3"/>
  <c r="K38" i="3"/>
  <c r="K37" i="3"/>
  <c r="K36" i="3"/>
  <c r="K35" i="3"/>
  <c r="N35" i="3" s="1"/>
  <c r="K34" i="3"/>
  <c r="N34" i="3" s="1"/>
  <c r="K33" i="3"/>
  <c r="K32" i="3"/>
  <c r="K31" i="3"/>
  <c r="K30" i="3"/>
  <c r="M217" i="3"/>
  <c r="N217" i="3" s="1"/>
  <c r="M216" i="3"/>
  <c r="N216" i="3" s="1"/>
  <c r="M215" i="3"/>
  <c r="N215" i="3" s="1"/>
  <c r="M214" i="3"/>
  <c r="N214" i="3" s="1"/>
  <c r="M213" i="3"/>
  <c r="N213" i="3" s="1"/>
  <c r="M212" i="3"/>
  <c r="M211" i="3"/>
  <c r="M210" i="3"/>
  <c r="M209" i="3"/>
  <c r="N209" i="3" s="1"/>
  <c r="M208" i="3"/>
  <c r="N208" i="3" s="1"/>
  <c r="M207" i="3"/>
  <c r="M206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M195" i="3"/>
  <c r="N195" i="3" s="1"/>
  <c r="M194" i="3"/>
  <c r="N194" i="3" s="1"/>
  <c r="M193" i="3"/>
  <c r="N193" i="3" s="1"/>
  <c r="M192" i="3"/>
  <c r="N192" i="3" s="1"/>
  <c r="M191" i="3"/>
  <c r="N191" i="3" s="1"/>
  <c r="M190" i="3"/>
  <c r="N190" i="3" s="1"/>
  <c r="M189" i="3"/>
  <c r="N189" i="3" s="1"/>
  <c r="M188" i="3"/>
  <c r="N188" i="3" s="1"/>
  <c r="M187" i="3"/>
  <c r="M186" i="3"/>
  <c r="M185" i="3"/>
  <c r="M184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M173" i="3"/>
  <c r="N173" i="3" s="1"/>
  <c r="M172" i="3"/>
  <c r="N172" i="3" s="1"/>
  <c r="M171" i="3"/>
  <c r="N171" i="3" s="1"/>
  <c r="M170" i="3"/>
  <c r="N170" i="3" s="1"/>
  <c r="M169" i="3"/>
  <c r="N169" i="3" s="1"/>
  <c r="M168" i="3"/>
  <c r="M167" i="3"/>
  <c r="M166" i="3"/>
  <c r="M165" i="3"/>
  <c r="M164" i="3"/>
  <c r="N164" i="3" s="1"/>
  <c r="M163" i="3"/>
  <c r="M162" i="3"/>
  <c r="L164" i="3"/>
  <c r="L163" i="3"/>
  <c r="K191" i="3"/>
  <c r="K190" i="3"/>
  <c r="K189" i="3"/>
  <c r="K187" i="3"/>
  <c r="K188" i="3"/>
  <c r="K186" i="3"/>
  <c r="K185" i="3"/>
  <c r="K184" i="3"/>
  <c r="M151" i="3"/>
  <c r="N151" i="3" s="1"/>
  <c r="M150" i="3"/>
  <c r="N150" i="3" s="1"/>
  <c r="M149" i="3"/>
  <c r="N149" i="3" s="1"/>
  <c r="M148" i="3"/>
  <c r="N148" i="3" s="1"/>
  <c r="M147" i="3"/>
  <c r="N147" i="3" s="1"/>
  <c r="M146" i="3"/>
  <c r="M145" i="3"/>
  <c r="M144" i="3"/>
  <c r="M143" i="3"/>
  <c r="M142" i="3"/>
  <c r="M141" i="3"/>
  <c r="M140" i="3"/>
  <c r="L140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M129" i="3"/>
  <c r="N129" i="3" s="1"/>
  <c r="M128" i="3"/>
  <c r="N128" i="3" s="1"/>
  <c r="M127" i="3"/>
  <c r="N127" i="3" s="1"/>
  <c r="M126" i="3"/>
  <c r="N126" i="3" s="1"/>
  <c r="M125" i="3"/>
  <c r="N125" i="3" s="1"/>
  <c r="M124" i="3"/>
  <c r="M123" i="3"/>
  <c r="M122" i="3"/>
  <c r="M121" i="3"/>
  <c r="M120" i="3"/>
  <c r="N120" i="3" s="1"/>
  <c r="M119" i="3"/>
  <c r="M118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K150" i="3"/>
  <c r="K149" i="3"/>
  <c r="K148" i="3"/>
  <c r="K147" i="3"/>
  <c r="K146" i="3"/>
  <c r="K145" i="3"/>
  <c r="K144" i="3"/>
  <c r="K151" i="3"/>
  <c r="K143" i="3"/>
  <c r="K142" i="3"/>
  <c r="K141" i="3"/>
  <c r="K140" i="3"/>
  <c r="M107" i="3"/>
  <c r="N107" i="3" s="1"/>
  <c r="M106" i="3"/>
  <c r="N106" i="3" s="1"/>
  <c r="M105" i="3"/>
  <c r="N105" i="3" s="1"/>
  <c r="M104" i="3"/>
  <c r="N104" i="3" s="1"/>
  <c r="M103" i="3"/>
  <c r="N103" i="3" s="1"/>
  <c r="M102" i="3"/>
  <c r="N102" i="3" s="1"/>
  <c r="M101" i="3"/>
  <c r="N101" i="3" s="1"/>
  <c r="M100" i="3"/>
  <c r="N100" i="3" s="1"/>
  <c r="M99" i="3"/>
  <c r="M98" i="3"/>
  <c r="M97" i="3"/>
  <c r="M96" i="3"/>
  <c r="L107" i="3"/>
  <c r="L106" i="3"/>
  <c r="L105" i="3"/>
  <c r="L104" i="3"/>
  <c r="L103" i="3"/>
  <c r="L102" i="3"/>
  <c r="L101" i="3"/>
  <c r="L100" i="3"/>
  <c r="L99" i="3"/>
  <c r="L98" i="3"/>
  <c r="L97" i="3"/>
  <c r="L96" i="3"/>
  <c r="M85" i="3"/>
  <c r="N85" i="3" s="1"/>
  <c r="M84" i="3"/>
  <c r="N84" i="3" s="1"/>
  <c r="M83" i="3"/>
  <c r="N83" i="3" s="1"/>
  <c r="M82" i="3"/>
  <c r="N82" i="3" s="1"/>
  <c r="M81" i="3"/>
  <c r="N81" i="3" s="1"/>
  <c r="M80" i="3"/>
  <c r="N80" i="3" s="1"/>
  <c r="M79" i="3"/>
  <c r="N79" i="3" s="1"/>
  <c r="M78" i="3"/>
  <c r="N78" i="3" s="1"/>
  <c r="M77" i="3"/>
  <c r="M76" i="3"/>
  <c r="M75" i="3"/>
  <c r="M74" i="3"/>
  <c r="L85" i="3"/>
  <c r="L84" i="3"/>
  <c r="L83" i="3"/>
  <c r="L82" i="3"/>
  <c r="L81" i="3"/>
  <c r="L80" i="3"/>
  <c r="L79" i="3"/>
  <c r="L78" i="3"/>
  <c r="L77" i="3"/>
  <c r="L76" i="3"/>
  <c r="L75" i="3"/>
  <c r="L74" i="3"/>
  <c r="L63" i="3"/>
  <c r="L62" i="3"/>
  <c r="L61" i="3"/>
  <c r="L60" i="3"/>
  <c r="L59" i="3"/>
  <c r="L58" i="3"/>
  <c r="N58" i="3" s="1"/>
  <c r="L57" i="3"/>
  <c r="N57" i="3" s="1"/>
  <c r="L56" i="3"/>
  <c r="N56" i="3" s="1"/>
  <c r="L55" i="3"/>
  <c r="L54" i="3"/>
  <c r="K54" i="3"/>
  <c r="L52" i="3"/>
  <c r="L53" i="3"/>
  <c r="K85" i="3"/>
  <c r="K84" i="3"/>
  <c r="K83" i="3"/>
  <c r="K82" i="3"/>
  <c r="K81" i="3"/>
  <c r="K80" i="3"/>
  <c r="K79" i="3"/>
  <c r="K78" i="3"/>
  <c r="K77" i="3"/>
  <c r="K76" i="3"/>
  <c r="K75" i="3"/>
  <c r="K74" i="3"/>
  <c r="K63" i="3"/>
  <c r="K62" i="3"/>
  <c r="K61" i="3"/>
  <c r="K60" i="3"/>
  <c r="K59" i="3"/>
  <c r="K58" i="3"/>
  <c r="K57" i="3"/>
  <c r="K56" i="3"/>
  <c r="K55" i="3"/>
  <c r="K52" i="3"/>
  <c r="K53" i="3"/>
  <c r="K8" i="3"/>
  <c r="M8" i="3"/>
  <c r="M9" i="3"/>
  <c r="M10" i="3"/>
  <c r="M11" i="3"/>
  <c r="M12" i="3"/>
  <c r="N14" i="3" l="1"/>
  <c r="N15" i="3"/>
  <c r="N212" i="3"/>
  <c r="N124" i="3"/>
  <c r="N210" i="3"/>
  <c r="N122" i="3"/>
  <c r="N211" i="3"/>
  <c r="N123" i="3"/>
  <c r="N163" i="3"/>
  <c r="N12" i="3"/>
  <c r="N121" i="3"/>
  <c r="N187" i="3"/>
  <c r="N231" i="3"/>
  <c r="N11" i="3"/>
  <c r="N55" i="3"/>
  <c r="N77" i="3"/>
  <c r="N99" i="3"/>
  <c r="N207" i="3"/>
  <c r="N10" i="3"/>
  <c r="N119" i="3"/>
  <c r="N118" i="3"/>
  <c r="N228" i="3"/>
  <c r="N53" i="3"/>
  <c r="N184" i="3"/>
  <c r="N52" i="3"/>
  <c r="N9" i="3"/>
  <c r="N140" i="3"/>
  <c r="N8" i="3"/>
  <c r="N142" i="3"/>
  <c r="N74" i="3"/>
  <c r="N185" i="3"/>
  <c r="N96" i="3"/>
  <c r="N97" i="3"/>
  <c r="N186" i="3"/>
  <c r="N230" i="3"/>
  <c r="N30" i="3"/>
  <c r="N54" i="3"/>
  <c r="N76" i="3"/>
  <c r="N98" i="3"/>
  <c r="N31" i="3"/>
  <c r="N162" i="3"/>
  <c r="N206" i="3"/>
  <c r="N32" i="3"/>
  <c r="N141" i="3"/>
  <c r="N229" i="3"/>
  <c r="N75" i="3"/>
  <c r="K15" i="3"/>
  <c r="H20" i="1"/>
  <c r="H38" i="1" s="1"/>
  <c r="I3" i="1"/>
  <c r="L143" i="3"/>
  <c r="N143" i="3" s="1"/>
  <c r="L142" i="3"/>
  <c r="L165" i="3"/>
  <c r="N165" i="3" s="1"/>
  <c r="K16" i="3" l="1"/>
  <c r="K192" i="3"/>
  <c r="I20" i="1"/>
  <c r="I38" i="1" s="1"/>
  <c r="J3" i="1"/>
  <c r="L144" i="3"/>
  <c r="N144" i="3" s="1"/>
  <c r="L166" i="3"/>
  <c r="N166" i="3" s="1"/>
  <c r="K17" i="3" l="1"/>
  <c r="K193" i="3"/>
  <c r="K3" i="1"/>
  <c r="J20" i="1"/>
  <c r="J38" i="1" s="1"/>
  <c r="L145" i="3"/>
  <c r="N145" i="3" s="1"/>
  <c r="L167" i="3"/>
  <c r="N167" i="3" s="1"/>
  <c r="K18" i="3" l="1"/>
  <c r="K194" i="3"/>
  <c r="K20" i="1"/>
  <c r="K38" i="1" s="1"/>
  <c r="L3" i="1"/>
  <c r="L146" i="3"/>
  <c r="N146" i="3" s="1"/>
  <c r="L168" i="3"/>
  <c r="N168" i="3" s="1"/>
  <c r="K19" i="3" l="1"/>
  <c r="K195" i="3"/>
  <c r="L20" i="1"/>
  <c r="L38" i="1" s="1"/>
  <c r="M3" i="1"/>
  <c r="L147" i="3"/>
  <c r="L169" i="3"/>
  <c r="M20" i="1" l="1"/>
  <c r="M38" i="1" s="1"/>
  <c r="N3" i="1"/>
  <c r="L148" i="3"/>
  <c r="L170" i="3"/>
  <c r="O3" i="1" l="1"/>
  <c r="O20" i="1" s="1"/>
  <c r="O38" i="1" s="1"/>
  <c r="N20" i="1"/>
  <c r="N38" i="1" s="1"/>
  <c r="L149" i="3"/>
  <c r="L171" i="3"/>
  <c r="L151" i="3" l="1"/>
  <c r="L150" i="3"/>
  <c r="L173" i="3"/>
  <c r="L172" i="3"/>
</calcChain>
</file>

<file path=xl/sharedStrings.xml><?xml version="1.0" encoding="utf-8"?>
<sst xmlns="http://schemas.openxmlformats.org/spreadsheetml/2006/main" count="507" uniqueCount="59">
  <si>
    <t>Forecast</t>
  </si>
  <si>
    <t>P1 - Sep</t>
  </si>
  <si>
    <t>Fernvale</t>
  </si>
  <si>
    <t>Glenmere</t>
  </si>
  <si>
    <t>Hinckley Parks</t>
  </si>
  <si>
    <t>Hollycroft</t>
  </si>
  <si>
    <t>Langmoor</t>
  </si>
  <si>
    <t>Little Hill</t>
  </si>
  <si>
    <t>New Lubb</t>
  </si>
  <si>
    <t>Newlands</t>
  </si>
  <si>
    <t>Ravenhurst</t>
  </si>
  <si>
    <t>OWLS</t>
  </si>
  <si>
    <t>TOTAL</t>
  </si>
  <si>
    <t>Actual</t>
  </si>
  <si>
    <t>Revised Forecast</t>
  </si>
  <si>
    <t>Actual (£)</t>
  </si>
  <si>
    <t>Revised Forecast (£)</t>
  </si>
  <si>
    <t>Forecast £</t>
  </si>
  <si>
    <t>Variance</t>
  </si>
  <si>
    <t>P2 - Oct</t>
  </si>
  <si>
    <t>P3 - Nov</t>
  </si>
  <si>
    <t>P4 - Dec</t>
  </si>
  <si>
    <t>P5 - Jan</t>
  </si>
  <si>
    <t>P6 - Feb</t>
  </si>
  <si>
    <t>P7 - Mar</t>
  </si>
  <si>
    <t>P8 - Apr</t>
  </si>
  <si>
    <t>P9 - May</t>
  </si>
  <si>
    <t>P10 - June</t>
  </si>
  <si>
    <t>P11 - July</t>
  </si>
  <si>
    <t>P12 - Aug</t>
  </si>
  <si>
    <t>RAV</t>
  </si>
  <si>
    <t>NL</t>
  </si>
  <si>
    <t>LH</t>
  </si>
  <si>
    <t>HP</t>
  </si>
  <si>
    <t>Combined</t>
  </si>
  <si>
    <t>(Run the I&amp;E Profile Report in Budgets and add the Forecasted Balance figure to the previous month's bank balance)</t>
  </si>
  <si>
    <t>(Actual)</t>
  </si>
  <si>
    <t>No. Revised Forecasts completed</t>
  </si>
  <si>
    <t>Variance *</t>
  </si>
  <si>
    <t>* Variance calculated against most recent forecast</t>
  </si>
  <si>
    <t>2025-26 Cashflow Forecast v Actual</t>
  </si>
  <si>
    <t>LH and OWLS corrected for temp loan</t>
  </si>
  <si>
    <t>Add accrued NIC grant for Apr-Aug from October onwards</t>
  </si>
  <si>
    <t>APS</t>
  </si>
  <si>
    <t>APS Account</t>
  </si>
  <si>
    <t>Accruals to deduct</t>
  </si>
  <si>
    <t>Add other Accrued Income</t>
  </si>
  <si>
    <t>Sep</t>
  </si>
  <si>
    <t>Oct</t>
  </si>
  <si>
    <t>Nov</t>
  </si>
  <si>
    <t>Dec</t>
  </si>
  <si>
    <t>Jan</t>
  </si>
  <si>
    <t>Feb</t>
  </si>
  <si>
    <t>£71K CIF Income still outstanding</t>
  </si>
  <si>
    <t>Repayment of CIF Loan not in budget (£92,724.15)</t>
  </si>
  <si>
    <t>Achieved despite CIF loan repayment of £31,687</t>
  </si>
  <si>
    <t>Repayment of CIF Loan not in budget (£39,982). but would still have variance that indicates overspend</t>
  </si>
  <si>
    <t>Repayment of CIF Loan not in budget (£18,620.39)</t>
  </si>
  <si>
    <t>Repayment of CIF Loan not in budget (£18,413.02)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</si>
</sst>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14" fontId="2" fillId="0" borderId="0" xfId="0" applyNumberFormat="1" applyFont="1"/>
    <xf numFmtId="0" fontId="2" fillId="0" borderId="1" xfId="0" applyFont="1" applyBorder="1"/>
    <xf numFmtId="164" fontId="0" fillId="0" borderId="0" xfId="1" applyFont="1"/>
    <xf numFmtId="40" fontId="0" fillId="0" borderId="0" xfId="1" applyNumberFormat="1" applyFont="1"/>
    <xf numFmtId="40" fontId="0" fillId="0" borderId="1" xfId="1" applyNumberFormat="1" applyFont="1" applyBorder="1"/>
    <xf numFmtId="40" fontId="2" fillId="0" borderId="0" xfId="1" applyNumberFormat="1" applyFont="1"/>
    <xf numFmtId="0" fontId="4" fillId="0" borderId="0" xfId="0" applyFont="1"/>
    <xf numFmtId="40" fontId="0" fillId="0" borderId="2" xfId="0" applyNumberFormat="1" applyBorder="1"/>
    <xf numFmtId="0" fontId="2" fillId="2" borderId="2" xfId="0" applyFont="1" applyFill="1" applyBorder="1"/>
    <xf numFmtId="0" fontId="5" fillId="0" borderId="0" xfId="0" applyFont="1"/>
    <xf numFmtId="0" fontId="6" fillId="0" borderId="0" xfId="0" applyFont="1" applyAlignment="1">
      <alignment horizontal="right"/>
    </xf>
    <xf numFmtId="40" fontId="0" fillId="0" borderId="0" xfId="1" applyNumberFormat="1" applyFont="1" applyFill="1" applyBorder="1"/>
    <xf numFmtId="40" fontId="0" fillId="0" borderId="1" xfId="1" applyNumberFormat="1" applyFont="1" applyFill="1" applyBorder="1"/>
    <xf numFmtId="14" fontId="2" fillId="3" borderId="0" xfId="0" applyNumberFormat="1" applyFont="1" applyFill="1"/>
    <xf numFmtId="40" fontId="0" fillId="0" borderId="0" xfId="0" applyNumberFormat="1"/>
    <xf numFmtId="0" fontId="8" fillId="0" borderId="0" xfId="0" applyFont="1"/>
    <xf numFmtId="164" fontId="9" fillId="0" borderId="0" xfId="1" applyFont="1"/>
    <xf numFmtId="0" fontId="2" fillId="4" borderId="1" xfId="0" applyFont="1" applyFill="1" applyBorder="1"/>
    <xf numFmtId="40" fontId="0" fillId="4" borderId="1" xfId="1" applyNumberFormat="1" applyFont="1" applyFill="1" applyBorder="1"/>
    <xf numFmtId="0" fontId="0" fillId="4" borderId="0" xfId="0" applyFill="1"/>
    <xf numFmtId="40" fontId="0" fillId="4" borderId="0" xfId="1" applyNumberFormat="1" applyFont="1" applyFill="1"/>
    <xf numFmtId="40" fontId="0" fillId="4" borderId="0" xfId="0" applyNumberFormat="1" applyFill="1"/>
    <xf numFmtId="164" fontId="0" fillId="4" borderId="0" xfId="1" applyFont="1" applyFill="1"/>
    <xf numFmtId="40" fontId="0" fillId="0" borderId="0" xfId="1" applyNumberFormat="1" applyFont="1" applyFill="1"/>
    <xf numFmtId="165" fontId="0" fillId="0" borderId="0" xfId="0" applyNumberFormat="1"/>
    <xf numFmtId="40" fontId="0" fillId="5" borderId="0" xfId="1" applyNumberFormat="1" applyFont="1" applyFill="1"/>
    <xf numFmtId="40" fontId="0" fillId="5" borderId="1" xfId="1" applyNumberFormat="1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Fernvale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Data!$C$4:$O$4</c:f>
              <c:numCache>
                <c:formatCode>#,##0.00_);[Red]\(#,##0.00\)</c:formatCode>
                <c:ptCount val="13"/>
                <c:pt idx="0">
                  <c:v>145252.26999999999</c:v>
                </c:pt>
                <c:pt idx="1">
                  <c:v>125475.63</c:v>
                </c:pt>
                <c:pt idx="2">
                  <c:v>121412.18000000002</c:v>
                </c:pt>
                <c:pt idx="3">
                  <c:v>129094.71000000002</c:v>
                </c:pt>
                <c:pt idx="4">
                  <c:v>113820.09000000003</c:v>
                </c:pt>
                <c:pt idx="5">
                  <c:v>113054.18000000005</c:v>
                </c:pt>
                <c:pt idx="6">
                  <c:v>99061.96000000005</c:v>
                </c:pt>
                <c:pt idx="7">
                  <c:v>81200.620000000054</c:v>
                </c:pt>
                <c:pt idx="8">
                  <c:v>79262.510000000068</c:v>
                </c:pt>
                <c:pt idx="9">
                  <c:v>90425.340000000055</c:v>
                </c:pt>
                <c:pt idx="10">
                  <c:v>78374.920000000071</c:v>
                </c:pt>
                <c:pt idx="11">
                  <c:v>145453.29000000012</c:v>
                </c:pt>
                <c:pt idx="12">
                  <c:v>139931.5800000001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25-4C52-8D53-2810D9EF4C2C}"/>
            </c:ext>
          </c:extLst>
        </c:ser>
        <c:ser>
          <c:idx val="1"/>
          <c:order val="1"/>
          <c:tx>
            <c:strRef>
              <c:f>Data!$B$21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Data!$C$21:$O$21</c:f>
              <c:numCache>
                <c:formatCode>#,##0.00_);[Red]\(#,##0.00\)</c:formatCode>
                <c:ptCount val="13"/>
                <c:pt idx="0">
                  <c:v>145252.26999999999</c:v>
                </c:pt>
                <c:pt idx="1">
                  <c:v>142802.51</c:v>
                </c:pt>
                <c:pt idx="2">
                  <c:v>183941.09</c:v>
                </c:pt>
                <c:pt idx="3">
                  <c:v>207744.62</c:v>
                </c:pt>
                <c:pt idx="4">
                  <c:v>136583.07</c:v>
                </c:pt>
                <c:pt idx="5">
                  <c:v>152482.54999999999</c:v>
                </c:pt>
                <c:pt idx="6">
                  <c:v>151064.13</c:v>
                </c:pt>
                <c:pt idx="7">
                  <c:v>84841.919999999998</c:v>
                </c:pt>
                <c:pt idx="8">
                  <c:v>91434.559999999998</c:v>
                </c:pt>
                <c:pt idx="9">
                  <c:v>73575.100000000006</c:v>
                </c:pt>
                <c:pt idx="10">
                  <c:v>53668.398999999998</c:v>
                </c:pt>
                <c:pt idx="11">
                  <c:v>129522.61</c:v>
                </c:pt>
                <c:pt idx="12">
                  <c:v>70014.11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25-4C52-8D53-2810D9EF4C2C}"/>
            </c:ext>
          </c:extLst>
        </c:ser>
        <c:ser>
          <c:idx val="2"/>
          <c:order val="2"/>
          <c:tx>
            <c:strRef>
              <c:f>Data!$B$39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Data!$C$39:$O$39</c:f>
              <c:numCache>
                <c:formatCode>#,##0.00_);[Red]\(#,##0.00\)</c:formatCode>
                <c:ptCount val="13"/>
                <c:pt idx="0">
                  <c:v>145252.26999999999</c:v>
                </c:pt>
                <c:pt idx="1">
                  <c:v>125475.63</c:v>
                </c:pt>
                <c:pt idx="2">
                  <c:v>121412.18000000002</c:v>
                </c:pt>
                <c:pt idx="3">
                  <c:v>129094.71000000002</c:v>
                </c:pt>
                <c:pt idx="4">
                  <c:v>113820.09000000003</c:v>
                </c:pt>
                <c:pt idx="5">
                  <c:v>113054.18000000005</c:v>
                </c:pt>
                <c:pt idx="6">
                  <c:v>99061.96000000005</c:v>
                </c:pt>
                <c:pt idx="7">
                  <c:v>127208.43000000005</c:v>
                </c:pt>
                <c:pt idx="8">
                  <c:v>123453.93000000002</c:v>
                </c:pt>
                <c:pt idx="9">
                  <c:v>163571.6</c:v>
                </c:pt>
                <c:pt idx="10">
                  <c:v>146743.45000000004</c:v>
                </c:pt>
                <c:pt idx="11">
                  <c:v>209021.11000000002</c:v>
                </c:pt>
                <c:pt idx="12">
                  <c:v>201052.83000000005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25-4C52-8D53-2810D9EF4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GLENMERE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Data!$B$5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Data!$C$5:$O$5</c:f>
              <c:numCache>
                <c:formatCode>#,##0.00_);[Red]\(#,##0.00\)</c:formatCode>
                <c:ptCount val="13"/>
                <c:pt idx="0">
                  <c:v>103973.21</c:v>
                </c:pt>
                <c:pt idx="1">
                  <c:v>91045.05</c:v>
                </c:pt>
                <c:pt idx="2">
                  <c:v>96254.640000000014</c:v>
                </c:pt>
                <c:pt idx="3">
                  <c:v>106863.01000000002</c:v>
                </c:pt>
                <c:pt idx="4">
                  <c:v>96618.540000000008</c:v>
                </c:pt>
                <c:pt idx="5">
                  <c:v>98509.560000000027</c:v>
                </c:pt>
                <c:pt idx="6">
                  <c:v>89746.060000000027</c:v>
                </c:pt>
                <c:pt idx="7">
                  <c:v>72295.270000000019</c:v>
                </c:pt>
                <c:pt idx="8">
                  <c:v>68495.660000000033</c:v>
                </c:pt>
                <c:pt idx="9">
                  <c:v>83769.530000000028</c:v>
                </c:pt>
                <c:pt idx="10">
                  <c:v>78672.660000000033</c:v>
                </c:pt>
                <c:pt idx="11">
                  <c:v>120193.52000000005</c:v>
                </c:pt>
                <c:pt idx="12">
                  <c:v>110068.59000000004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E9-46F5-B811-DBA1A1E67301}"/>
            </c:ext>
          </c:extLst>
        </c:ser>
        <c:ser>
          <c:idx val="1"/>
          <c:order val="1"/>
          <c:tx>
            <c:strRef>
              <c:f>Data!$B$22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Data!$C$22:$O$22</c:f>
              <c:numCache>
                <c:formatCode>#,##0.00_);[Red]\(#,##0.00\)</c:formatCode>
                <c:ptCount val="13"/>
                <c:pt idx="0">
                  <c:v>103973.21</c:v>
                </c:pt>
                <c:pt idx="1">
                  <c:v>102458.82</c:v>
                </c:pt>
                <c:pt idx="2">
                  <c:v>108059.51</c:v>
                </c:pt>
                <c:pt idx="3">
                  <c:v>138014.71</c:v>
                </c:pt>
                <c:pt idx="4">
                  <c:v>101545.4</c:v>
                </c:pt>
                <c:pt idx="5">
                  <c:v>115340.51</c:v>
                </c:pt>
                <c:pt idx="6">
                  <c:v>112508.39</c:v>
                </c:pt>
                <c:pt idx="7">
                  <c:v>82473.67</c:v>
                </c:pt>
                <c:pt idx="8">
                  <c:v>82617.600000000006</c:v>
                </c:pt>
                <c:pt idx="9">
                  <c:v>98766.06</c:v>
                </c:pt>
                <c:pt idx="10">
                  <c:v>83855.320000000007</c:v>
                </c:pt>
                <c:pt idx="11">
                  <c:v>116239.61</c:v>
                </c:pt>
                <c:pt idx="12">
                  <c:v>88324.56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E9-46F5-B811-DBA1A1E67301}"/>
            </c:ext>
          </c:extLst>
        </c:ser>
        <c:ser>
          <c:idx val="2"/>
          <c:order val="2"/>
          <c:tx>
            <c:strRef>
              <c:f>Data!$B$40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Data!$C$40:$O$40</c:f>
              <c:numCache>
                <c:formatCode>#,##0.00_);[Red]\(#,##0.00\)</c:formatCode>
                <c:ptCount val="13"/>
                <c:pt idx="0">
                  <c:v>103973.21</c:v>
                </c:pt>
                <c:pt idx="1">
                  <c:v>91045.05</c:v>
                </c:pt>
                <c:pt idx="2">
                  <c:v>96254.640000000014</c:v>
                </c:pt>
                <c:pt idx="3">
                  <c:v>106863.01000000002</c:v>
                </c:pt>
                <c:pt idx="4">
                  <c:v>96618.540000000008</c:v>
                </c:pt>
                <c:pt idx="5">
                  <c:v>98509.560000000027</c:v>
                </c:pt>
                <c:pt idx="6">
                  <c:v>89746.060000000027</c:v>
                </c:pt>
                <c:pt idx="7">
                  <c:v>94797.780000000013</c:v>
                </c:pt>
                <c:pt idx="8">
                  <c:v>89501.500000000015</c:v>
                </c:pt>
                <c:pt idx="9">
                  <c:v>104547.95000000003</c:v>
                </c:pt>
                <c:pt idx="10">
                  <c:v>99806.810000000012</c:v>
                </c:pt>
                <c:pt idx="11">
                  <c:v>140684.49000000002</c:v>
                </c:pt>
                <c:pt idx="12">
                  <c:v>128103.87000000001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E9-46F5-B811-DBA1A1E67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HINCKLEY</a:t>
            </a:r>
            <a:r>
              <a:rPr lang="en-GB" baseline="0"/>
              <a:t> PARKS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Data!$B$6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Data!$C$6:$O$6</c:f>
              <c:numCache>
                <c:formatCode>#,##0.00_);[Red]\(#,##0.00\)</c:formatCode>
                <c:ptCount val="13"/>
                <c:pt idx="0">
                  <c:v>216687.21</c:v>
                </c:pt>
                <c:pt idx="1">
                  <c:v>190542.39999999997</c:v>
                </c:pt>
                <c:pt idx="2">
                  <c:v>169645.01999999996</c:v>
                </c:pt>
                <c:pt idx="3">
                  <c:v>174259.01999999996</c:v>
                </c:pt>
                <c:pt idx="4">
                  <c:v>151363.63999999996</c:v>
                </c:pt>
                <c:pt idx="5">
                  <c:v>138011.12</c:v>
                </c:pt>
                <c:pt idx="6">
                  <c:v>113666.18</c:v>
                </c:pt>
                <c:pt idx="7">
                  <c:v>82126.069999999949</c:v>
                </c:pt>
                <c:pt idx="8">
                  <c:v>108515.80999999994</c:v>
                </c:pt>
                <c:pt idx="9">
                  <c:v>116963.56999999989</c:v>
                </c:pt>
                <c:pt idx="10">
                  <c:v>109069.06999999989</c:v>
                </c:pt>
                <c:pt idx="11">
                  <c:v>208353.10999999987</c:v>
                </c:pt>
                <c:pt idx="12">
                  <c:v>195435.37999999989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97-4A8F-8C82-2517C64F206C}"/>
            </c:ext>
          </c:extLst>
        </c:ser>
        <c:ser>
          <c:idx val="1"/>
          <c:order val="1"/>
          <c:tx>
            <c:strRef>
              <c:f>Data!$B$23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Data!$C$23:$O$23</c:f>
              <c:numCache>
                <c:formatCode>#,##0.00_);[Red]\(#,##0.00\)</c:formatCode>
                <c:ptCount val="13"/>
                <c:pt idx="0">
                  <c:v>216687.21</c:v>
                </c:pt>
                <c:pt idx="1">
                  <c:v>209540.64</c:v>
                </c:pt>
                <c:pt idx="2">
                  <c:v>286235.65999999997</c:v>
                </c:pt>
                <c:pt idx="3">
                  <c:v>227845.42</c:v>
                </c:pt>
                <c:pt idx="4">
                  <c:v>202070.48</c:v>
                </c:pt>
                <c:pt idx="5">
                  <c:v>208728.86</c:v>
                </c:pt>
                <c:pt idx="6">
                  <c:v>175307.76</c:v>
                </c:pt>
                <c:pt idx="7">
                  <c:v>106929.32</c:v>
                </c:pt>
                <c:pt idx="8">
                  <c:v>98854.17</c:v>
                </c:pt>
                <c:pt idx="9">
                  <c:v>159664.21</c:v>
                </c:pt>
                <c:pt idx="10">
                  <c:v>120983.52</c:v>
                </c:pt>
                <c:pt idx="11">
                  <c:v>233590.44</c:v>
                </c:pt>
                <c:pt idx="12">
                  <c:v>174140.54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97-4A8F-8C82-2517C64F206C}"/>
            </c:ext>
          </c:extLst>
        </c:ser>
        <c:ser>
          <c:idx val="2"/>
          <c:order val="2"/>
          <c:tx>
            <c:strRef>
              <c:f>Data!$B$41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Data!$C$41:$O$41</c:f>
              <c:numCache>
                <c:formatCode>#,##0.00_);[Red]\(#,##0.00\)</c:formatCode>
                <c:ptCount val="13"/>
                <c:pt idx="0">
                  <c:v>216687.21</c:v>
                </c:pt>
                <c:pt idx="1">
                  <c:v>190542.39999999997</c:v>
                </c:pt>
                <c:pt idx="2">
                  <c:v>169645.01999999996</c:v>
                </c:pt>
                <c:pt idx="3">
                  <c:v>174259.01999999996</c:v>
                </c:pt>
                <c:pt idx="4">
                  <c:v>151363.63999999996</c:v>
                </c:pt>
                <c:pt idx="5">
                  <c:v>138011.12</c:v>
                </c:pt>
                <c:pt idx="6">
                  <c:v>113666.18</c:v>
                </c:pt>
                <c:pt idx="7">
                  <c:v>134152.57</c:v>
                </c:pt>
                <c:pt idx="8">
                  <c:v>158673.71999999997</c:v>
                </c:pt>
                <c:pt idx="9">
                  <c:v>162050.63</c:v>
                </c:pt>
                <c:pt idx="10">
                  <c:v>159886.32</c:v>
                </c:pt>
                <c:pt idx="11">
                  <c:v>259186.43000000011</c:v>
                </c:pt>
                <c:pt idx="12">
                  <c:v>243748.87000000014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97-4A8F-8C82-2517C64F2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HOLLYCROFT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Data!$B$7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Data!$C$7:$O$7</c:f>
              <c:numCache>
                <c:formatCode>#,##0.00_);[Red]\(#,##0.00\)</c:formatCode>
                <c:ptCount val="13"/>
                <c:pt idx="0">
                  <c:v>123921.84</c:v>
                </c:pt>
                <c:pt idx="1">
                  <c:v>105464.81999999999</c:v>
                </c:pt>
                <c:pt idx="2">
                  <c:v>102813.5</c:v>
                </c:pt>
                <c:pt idx="3">
                  <c:v>104906.28999999998</c:v>
                </c:pt>
                <c:pt idx="4">
                  <c:v>99140.449999999968</c:v>
                </c:pt>
                <c:pt idx="5">
                  <c:v>96941.109999999971</c:v>
                </c:pt>
                <c:pt idx="6">
                  <c:v>106938.41999999997</c:v>
                </c:pt>
                <c:pt idx="7">
                  <c:v>107823.48999999999</c:v>
                </c:pt>
                <c:pt idx="8">
                  <c:v>101914.56999999998</c:v>
                </c:pt>
                <c:pt idx="9">
                  <c:v>111461.84999999998</c:v>
                </c:pt>
                <c:pt idx="10">
                  <c:v>95685.779999999955</c:v>
                </c:pt>
                <c:pt idx="11">
                  <c:v>133292.39999999997</c:v>
                </c:pt>
                <c:pt idx="12">
                  <c:v>126007.07999999996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6A-4189-978D-9D10FAEFA929}"/>
            </c:ext>
          </c:extLst>
        </c:ser>
        <c:ser>
          <c:idx val="1"/>
          <c:order val="1"/>
          <c:tx>
            <c:strRef>
              <c:f>Data!$B$24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Data!$C$24:$O$24</c:f>
              <c:numCache>
                <c:formatCode>#,##0.00_);[Red]\(#,##0.00\)</c:formatCode>
                <c:ptCount val="13"/>
                <c:pt idx="0">
                  <c:v>123921.84</c:v>
                </c:pt>
                <c:pt idx="1">
                  <c:v>120282.14</c:v>
                </c:pt>
                <c:pt idx="2">
                  <c:v>112184.85</c:v>
                </c:pt>
                <c:pt idx="3">
                  <c:v>115726.73</c:v>
                </c:pt>
                <c:pt idx="4">
                  <c:v>117926.54</c:v>
                </c:pt>
                <c:pt idx="5">
                  <c:v>129059.9</c:v>
                </c:pt>
                <c:pt idx="6">
                  <c:v>133541.26</c:v>
                </c:pt>
                <c:pt idx="7">
                  <c:v>128833.8</c:v>
                </c:pt>
                <c:pt idx="8">
                  <c:v>181839.17</c:v>
                </c:pt>
                <c:pt idx="9">
                  <c:v>168751.38</c:v>
                </c:pt>
                <c:pt idx="10">
                  <c:v>185664.49</c:v>
                </c:pt>
                <c:pt idx="11">
                  <c:v>179726.67</c:v>
                </c:pt>
                <c:pt idx="12">
                  <c:v>169822.11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6A-4189-978D-9D10FAEFA929}"/>
            </c:ext>
          </c:extLst>
        </c:ser>
        <c:ser>
          <c:idx val="2"/>
          <c:order val="2"/>
          <c:tx>
            <c:strRef>
              <c:f>Data!$B$42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Data!$C$42:$O$42</c:f>
              <c:numCache>
                <c:formatCode>#,##0.00_);[Red]\(#,##0.00\)</c:formatCode>
                <c:ptCount val="13"/>
                <c:pt idx="0">
                  <c:v>123921.84</c:v>
                </c:pt>
                <c:pt idx="1">
                  <c:v>105464.81999999999</c:v>
                </c:pt>
                <c:pt idx="2">
                  <c:v>102813.5</c:v>
                </c:pt>
                <c:pt idx="3">
                  <c:v>104906.28999999998</c:v>
                </c:pt>
                <c:pt idx="4">
                  <c:v>99140.449999999968</c:v>
                </c:pt>
                <c:pt idx="5">
                  <c:v>96941.109999999971</c:v>
                </c:pt>
                <c:pt idx="6">
                  <c:v>106938.41999999997</c:v>
                </c:pt>
                <c:pt idx="7">
                  <c:v>134425.36000000002</c:v>
                </c:pt>
                <c:pt idx="8">
                  <c:v>128430.58000000002</c:v>
                </c:pt>
                <c:pt idx="9">
                  <c:v>137892</c:v>
                </c:pt>
                <c:pt idx="10">
                  <c:v>122030.06999999998</c:v>
                </c:pt>
                <c:pt idx="11">
                  <c:v>159550.84</c:v>
                </c:pt>
                <c:pt idx="12">
                  <c:v>152177.35999999999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6A-4189-978D-9D10FAEFA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langmoor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Data!$B$8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Data!$C$8:$O$8</c:f>
              <c:numCache>
                <c:formatCode>#,##0.00_);[Red]\(#,##0.00\)</c:formatCode>
                <c:ptCount val="13"/>
                <c:pt idx="0">
                  <c:v>213054.12</c:v>
                </c:pt>
                <c:pt idx="1">
                  <c:v>201698.46000000002</c:v>
                </c:pt>
                <c:pt idx="2">
                  <c:v>208621.47000000003</c:v>
                </c:pt>
                <c:pt idx="3">
                  <c:v>208638.39</c:v>
                </c:pt>
                <c:pt idx="4">
                  <c:v>199040.48</c:v>
                </c:pt>
                <c:pt idx="5">
                  <c:v>209531.47000000003</c:v>
                </c:pt>
                <c:pt idx="6">
                  <c:v>199008.35000000003</c:v>
                </c:pt>
                <c:pt idx="7">
                  <c:v>181756.28999999998</c:v>
                </c:pt>
                <c:pt idx="8">
                  <c:v>189260.94999999995</c:v>
                </c:pt>
                <c:pt idx="9">
                  <c:v>191007.59999999998</c:v>
                </c:pt>
                <c:pt idx="10">
                  <c:v>186538.81999999998</c:v>
                </c:pt>
                <c:pt idx="11">
                  <c:v>224911.99</c:v>
                </c:pt>
                <c:pt idx="12">
                  <c:v>211465.41000000003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6C-4F45-B8CF-660102A54E6C}"/>
            </c:ext>
          </c:extLst>
        </c:ser>
        <c:ser>
          <c:idx val="1"/>
          <c:order val="1"/>
          <c:tx>
            <c:strRef>
              <c:f>Data!$B$25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Data!$C$25:$O$25</c:f>
              <c:numCache>
                <c:formatCode>#,##0.00_);[Red]\(#,##0.00\)</c:formatCode>
                <c:ptCount val="13"/>
                <c:pt idx="0">
                  <c:v>213054.12</c:v>
                </c:pt>
                <c:pt idx="1">
                  <c:v>211082.39</c:v>
                </c:pt>
                <c:pt idx="2">
                  <c:v>239412.94</c:v>
                </c:pt>
                <c:pt idx="3">
                  <c:v>227873.19999999998</c:v>
                </c:pt>
                <c:pt idx="4">
                  <c:v>217067.81</c:v>
                </c:pt>
                <c:pt idx="5">
                  <c:v>224766.64</c:v>
                </c:pt>
                <c:pt idx="6">
                  <c:v>216117.28</c:v>
                </c:pt>
                <c:pt idx="7">
                  <c:v>186037</c:v>
                </c:pt>
                <c:pt idx="8">
                  <c:v>190512.16</c:v>
                </c:pt>
                <c:pt idx="9">
                  <c:v>216763.57</c:v>
                </c:pt>
                <c:pt idx="10">
                  <c:v>209406.92</c:v>
                </c:pt>
                <c:pt idx="11">
                  <c:v>250100.6</c:v>
                </c:pt>
                <c:pt idx="12">
                  <c:v>239449.31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6C-4F45-B8CF-660102A54E6C}"/>
            </c:ext>
          </c:extLst>
        </c:ser>
        <c:ser>
          <c:idx val="2"/>
          <c:order val="2"/>
          <c:tx>
            <c:strRef>
              <c:f>Data!$B$43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Data!$C$43:$O$43</c:f>
              <c:numCache>
                <c:formatCode>#,##0.00_);[Red]\(#,##0.00\)</c:formatCode>
                <c:ptCount val="13"/>
                <c:pt idx="0">
                  <c:v>213054.12</c:v>
                </c:pt>
                <c:pt idx="1">
                  <c:v>201698.46000000002</c:v>
                </c:pt>
                <c:pt idx="2">
                  <c:v>208621.47000000003</c:v>
                </c:pt>
                <c:pt idx="3">
                  <c:v>208638.39</c:v>
                </c:pt>
                <c:pt idx="4">
                  <c:v>199040.48</c:v>
                </c:pt>
                <c:pt idx="5">
                  <c:v>209531.47000000003</c:v>
                </c:pt>
                <c:pt idx="6">
                  <c:v>199008.35000000003</c:v>
                </c:pt>
                <c:pt idx="7">
                  <c:v>210454.22</c:v>
                </c:pt>
                <c:pt idx="8">
                  <c:v>222704.96</c:v>
                </c:pt>
                <c:pt idx="9">
                  <c:v>214117.59999999998</c:v>
                </c:pt>
                <c:pt idx="10">
                  <c:v>214493.06</c:v>
                </c:pt>
                <c:pt idx="11">
                  <c:v>252304.4</c:v>
                </c:pt>
                <c:pt idx="12">
                  <c:v>242836.90999999997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6C-4F45-B8CF-660102A54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little hill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Data!$B$9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Data!$C$9:$O$9</c:f>
              <c:numCache>
                <c:formatCode>#,##0.00_);[Red]\(#,##0.00\)</c:formatCode>
                <c:ptCount val="13"/>
                <c:pt idx="0">
                  <c:v>83575.48</c:v>
                </c:pt>
                <c:pt idx="1">
                  <c:v>52963.550000000017</c:v>
                </c:pt>
                <c:pt idx="2">
                  <c:v>84763.260000000068</c:v>
                </c:pt>
                <c:pt idx="3">
                  <c:v>85571.780000000072</c:v>
                </c:pt>
                <c:pt idx="4">
                  <c:v>64199.140000000043</c:v>
                </c:pt>
                <c:pt idx="5">
                  <c:v>67718.730000000069</c:v>
                </c:pt>
                <c:pt idx="6">
                  <c:v>81348.140000000087</c:v>
                </c:pt>
                <c:pt idx="7">
                  <c:v>53741.45000000007</c:v>
                </c:pt>
                <c:pt idx="8">
                  <c:v>62158.640000000072</c:v>
                </c:pt>
                <c:pt idx="9">
                  <c:v>65479.010000000068</c:v>
                </c:pt>
                <c:pt idx="10">
                  <c:v>36501.860000000073</c:v>
                </c:pt>
                <c:pt idx="11">
                  <c:v>124590.39000000004</c:v>
                </c:pt>
                <c:pt idx="12">
                  <c:v>109907.25000000003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9F-4E89-9E58-748903062344}"/>
            </c:ext>
          </c:extLst>
        </c:ser>
        <c:ser>
          <c:idx val="1"/>
          <c:order val="1"/>
          <c:tx>
            <c:strRef>
              <c:f>Data!$B$26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Data!$C$26:$O$26</c:f>
              <c:numCache>
                <c:formatCode>#,##0.00_);[Red]\(#,##0.00\)</c:formatCode>
                <c:ptCount val="13"/>
                <c:pt idx="0">
                  <c:v>83575.48</c:v>
                </c:pt>
                <c:pt idx="1">
                  <c:v>89155.87</c:v>
                </c:pt>
                <c:pt idx="2">
                  <c:v>130642.37</c:v>
                </c:pt>
                <c:pt idx="3">
                  <c:v>91564.109999999986</c:v>
                </c:pt>
                <c:pt idx="4">
                  <c:v>2088.8300000000017</c:v>
                </c:pt>
                <c:pt idx="5">
                  <c:v>122918.19</c:v>
                </c:pt>
                <c:pt idx="6">
                  <c:v>88244.78</c:v>
                </c:pt>
                <c:pt idx="7">
                  <c:v>59399.9</c:v>
                </c:pt>
                <c:pt idx="8">
                  <c:v>46586.9</c:v>
                </c:pt>
                <c:pt idx="9">
                  <c:v>77483.72</c:v>
                </c:pt>
                <c:pt idx="10">
                  <c:v>74574.149999999994</c:v>
                </c:pt>
                <c:pt idx="11">
                  <c:v>127872.38</c:v>
                </c:pt>
                <c:pt idx="12">
                  <c:v>41630.269999999997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9F-4E89-9E58-748903062344}"/>
            </c:ext>
          </c:extLst>
        </c:ser>
        <c:ser>
          <c:idx val="2"/>
          <c:order val="2"/>
          <c:tx>
            <c:strRef>
              <c:f>Data!$B$44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Data!$C$44:$O$44</c:f>
              <c:numCache>
                <c:formatCode>#,##0.00_);[Red]\(#,##0.00\)</c:formatCode>
                <c:ptCount val="13"/>
                <c:pt idx="0">
                  <c:v>83575.48</c:v>
                </c:pt>
                <c:pt idx="1">
                  <c:v>52963.550000000017</c:v>
                </c:pt>
                <c:pt idx="2">
                  <c:v>84763.260000000068</c:v>
                </c:pt>
                <c:pt idx="3">
                  <c:v>85571.780000000072</c:v>
                </c:pt>
                <c:pt idx="4">
                  <c:v>64199.140000000043</c:v>
                </c:pt>
                <c:pt idx="5">
                  <c:v>67718.730000000069</c:v>
                </c:pt>
                <c:pt idx="6">
                  <c:v>81348.140000000087</c:v>
                </c:pt>
                <c:pt idx="7">
                  <c:v>30936.869999999937</c:v>
                </c:pt>
                <c:pt idx="8">
                  <c:v>51904.769999999931</c:v>
                </c:pt>
                <c:pt idx="9">
                  <c:v>57363.739999999932</c:v>
                </c:pt>
                <c:pt idx="10">
                  <c:v>12975.099999999919</c:v>
                </c:pt>
                <c:pt idx="11">
                  <c:v>96967.609999999899</c:v>
                </c:pt>
                <c:pt idx="12">
                  <c:v>89340.379999999917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9F-4E89-9E58-748903062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new lubbesthorpe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Data!$B$10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Data!$C$10:$O$10</c:f>
              <c:numCache>
                <c:formatCode>#,##0.00_);[Red]\(#,##0.00\)</c:formatCode>
                <c:ptCount val="13"/>
                <c:pt idx="0">
                  <c:v>301734.34999999998</c:v>
                </c:pt>
                <c:pt idx="1">
                  <c:v>294708.13999999996</c:v>
                </c:pt>
                <c:pt idx="2">
                  <c:v>307831.44999999995</c:v>
                </c:pt>
                <c:pt idx="3">
                  <c:v>307221.39999999991</c:v>
                </c:pt>
                <c:pt idx="4">
                  <c:v>288986.93999999994</c:v>
                </c:pt>
                <c:pt idx="5">
                  <c:v>285047.18999999994</c:v>
                </c:pt>
                <c:pt idx="6">
                  <c:v>264850.12</c:v>
                </c:pt>
                <c:pt idx="7">
                  <c:v>226382.61000000004</c:v>
                </c:pt>
                <c:pt idx="8">
                  <c:v>224681.10000000006</c:v>
                </c:pt>
                <c:pt idx="9">
                  <c:v>210675.20000000007</c:v>
                </c:pt>
                <c:pt idx="10">
                  <c:v>202273.75000000009</c:v>
                </c:pt>
                <c:pt idx="11">
                  <c:v>273567.03000000003</c:v>
                </c:pt>
                <c:pt idx="12">
                  <c:v>312012.30000000005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EA-41B0-85B5-F4397A93371E}"/>
            </c:ext>
          </c:extLst>
        </c:ser>
        <c:ser>
          <c:idx val="1"/>
          <c:order val="1"/>
          <c:tx>
            <c:strRef>
              <c:f>Data!$B$27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Data!$C$27:$O$27</c:f>
              <c:numCache>
                <c:formatCode>#,##0.00_);[Red]\(#,##0.00\)</c:formatCode>
                <c:ptCount val="13"/>
                <c:pt idx="0">
                  <c:v>301734.34999999998</c:v>
                </c:pt>
                <c:pt idx="1">
                  <c:v>280957.46999999997</c:v>
                </c:pt>
                <c:pt idx="2">
                  <c:v>466514.26</c:v>
                </c:pt>
                <c:pt idx="3">
                  <c:v>443196.34</c:v>
                </c:pt>
                <c:pt idx="4">
                  <c:v>418397.25</c:v>
                </c:pt>
                <c:pt idx="5">
                  <c:v>429144.12</c:v>
                </c:pt>
                <c:pt idx="6">
                  <c:v>432573.95</c:v>
                </c:pt>
                <c:pt idx="7">
                  <c:v>339052.33</c:v>
                </c:pt>
                <c:pt idx="8">
                  <c:v>357001.49</c:v>
                </c:pt>
                <c:pt idx="9">
                  <c:v>387184.95</c:v>
                </c:pt>
                <c:pt idx="10">
                  <c:v>394045.6</c:v>
                </c:pt>
                <c:pt idx="11">
                  <c:v>302383.78000000003</c:v>
                </c:pt>
                <c:pt idx="12">
                  <c:v>310854.98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EA-41B0-85B5-F4397A93371E}"/>
            </c:ext>
          </c:extLst>
        </c:ser>
        <c:ser>
          <c:idx val="2"/>
          <c:order val="2"/>
          <c:tx>
            <c:strRef>
              <c:f>Data!$B$45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Data!$C$45:$O$45</c:f>
              <c:numCache>
                <c:formatCode>#,##0.00_);[Red]\(#,##0.00\)</c:formatCode>
                <c:ptCount val="13"/>
                <c:pt idx="0">
                  <c:v>301734.34999999998</c:v>
                </c:pt>
                <c:pt idx="1">
                  <c:v>294708.13999999996</c:v>
                </c:pt>
                <c:pt idx="2">
                  <c:v>307831.44999999995</c:v>
                </c:pt>
                <c:pt idx="3">
                  <c:v>307221.39999999991</c:v>
                </c:pt>
                <c:pt idx="4">
                  <c:v>288986.93999999994</c:v>
                </c:pt>
                <c:pt idx="5">
                  <c:v>285047.18999999994</c:v>
                </c:pt>
                <c:pt idx="6">
                  <c:v>264850.12</c:v>
                </c:pt>
                <c:pt idx="7">
                  <c:v>404060.57999999996</c:v>
                </c:pt>
                <c:pt idx="8">
                  <c:v>406810.30999999994</c:v>
                </c:pt>
                <c:pt idx="9">
                  <c:v>390157.62999999995</c:v>
                </c:pt>
                <c:pt idx="10">
                  <c:v>389633.68999999994</c:v>
                </c:pt>
                <c:pt idx="11">
                  <c:v>467695.90999999992</c:v>
                </c:pt>
                <c:pt idx="12">
                  <c:v>500432.09999999986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EA-41B0-85B5-F4397A933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NEWLANDS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Data!$B$11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Data!$C$11:$O$11</c:f>
              <c:numCache>
                <c:formatCode>#,##0.00_);[Red]\(#,##0.00\)</c:formatCode>
                <c:ptCount val="13"/>
                <c:pt idx="0">
                  <c:v>298550.96999999997</c:v>
                </c:pt>
                <c:pt idx="1">
                  <c:v>281995.93999999994</c:v>
                </c:pt>
                <c:pt idx="2">
                  <c:v>308831.14999999991</c:v>
                </c:pt>
                <c:pt idx="3">
                  <c:v>332043.35999999993</c:v>
                </c:pt>
                <c:pt idx="4">
                  <c:v>204507.03999999995</c:v>
                </c:pt>
                <c:pt idx="5">
                  <c:v>145184</c:v>
                </c:pt>
                <c:pt idx="6">
                  <c:v>160854.32</c:v>
                </c:pt>
                <c:pt idx="7">
                  <c:v>142592</c:v>
                </c:pt>
                <c:pt idx="8">
                  <c:v>141812</c:v>
                </c:pt>
                <c:pt idx="9">
                  <c:v>160364.51</c:v>
                </c:pt>
                <c:pt idx="10">
                  <c:v>143620.12000000002</c:v>
                </c:pt>
                <c:pt idx="11">
                  <c:v>205239.67</c:v>
                </c:pt>
                <c:pt idx="12">
                  <c:v>189340.19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10-455F-9221-0487A97A7EE7}"/>
            </c:ext>
          </c:extLst>
        </c:ser>
        <c:ser>
          <c:idx val="1"/>
          <c:order val="1"/>
          <c:tx>
            <c:strRef>
              <c:f>Data!$B$28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Data!$C$28:$O$28</c:f>
              <c:numCache>
                <c:formatCode>#,##0.00_);[Red]\(#,##0.00\)</c:formatCode>
                <c:ptCount val="13"/>
                <c:pt idx="0">
                  <c:v>298550.96999999997</c:v>
                </c:pt>
                <c:pt idx="1">
                  <c:v>272634.78999999998</c:v>
                </c:pt>
                <c:pt idx="2">
                  <c:v>335233.59999999998</c:v>
                </c:pt>
                <c:pt idx="3">
                  <c:v>379087.15</c:v>
                </c:pt>
                <c:pt idx="4">
                  <c:v>218579.07</c:v>
                </c:pt>
                <c:pt idx="5">
                  <c:v>166034.67000000001</c:v>
                </c:pt>
                <c:pt idx="6">
                  <c:v>158504.75</c:v>
                </c:pt>
                <c:pt idx="7">
                  <c:v>158747.29999999999</c:v>
                </c:pt>
                <c:pt idx="8">
                  <c:v>189219.87</c:v>
                </c:pt>
                <c:pt idx="9">
                  <c:v>230636.28</c:v>
                </c:pt>
                <c:pt idx="10">
                  <c:v>253785.05</c:v>
                </c:pt>
                <c:pt idx="11">
                  <c:v>295304.71999999997</c:v>
                </c:pt>
                <c:pt idx="12">
                  <c:v>246098.92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10-455F-9221-0487A97A7EE7}"/>
            </c:ext>
          </c:extLst>
        </c:ser>
        <c:ser>
          <c:idx val="2"/>
          <c:order val="2"/>
          <c:tx>
            <c:strRef>
              <c:f>Data!$B$46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Data!$C$46:$O$46</c:f>
              <c:numCache>
                <c:formatCode>#,##0.00_);[Red]\(#,##0.00\)</c:formatCode>
                <c:ptCount val="13"/>
                <c:pt idx="0">
                  <c:v>298550.96999999997</c:v>
                </c:pt>
                <c:pt idx="1">
                  <c:v>281995.93999999994</c:v>
                </c:pt>
                <c:pt idx="2">
                  <c:v>308831.14999999991</c:v>
                </c:pt>
                <c:pt idx="3">
                  <c:v>332043.35999999993</c:v>
                </c:pt>
                <c:pt idx="4">
                  <c:v>204507.03999999995</c:v>
                </c:pt>
                <c:pt idx="5">
                  <c:v>145184</c:v>
                </c:pt>
                <c:pt idx="6">
                  <c:v>160854.32</c:v>
                </c:pt>
                <c:pt idx="7">
                  <c:v>141994.68000000002</c:v>
                </c:pt>
                <c:pt idx="8">
                  <c:v>143316.55000000005</c:v>
                </c:pt>
                <c:pt idx="9">
                  <c:v>164643.08000000005</c:v>
                </c:pt>
                <c:pt idx="10">
                  <c:v>175662.49000000005</c:v>
                </c:pt>
                <c:pt idx="11">
                  <c:v>247013.7600000001</c:v>
                </c:pt>
                <c:pt idx="12">
                  <c:v>231781.93000000014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10-455F-9221-0487A97A7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RAVENHURST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Data!$B$12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Data!$C$12:$O$12</c:f>
              <c:numCache>
                <c:formatCode>#,##0.00_);[Red]\(#,##0.00\)</c:formatCode>
                <c:ptCount val="13"/>
                <c:pt idx="0">
                  <c:v>225347.17</c:v>
                </c:pt>
                <c:pt idx="1">
                  <c:v>259231.57</c:v>
                </c:pt>
                <c:pt idx="2">
                  <c:v>259900.61000000004</c:v>
                </c:pt>
                <c:pt idx="3">
                  <c:v>307959.76</c:v>
                </c:pt>
                <c:pt idx="4">
                  <c:v>199629.83999999997</c:v>
                </c:pt>
                <c:pt idx="5">
                  <c:v>74086.359999999971</c:v>
                </c:pt>
                <c:pt idx="6">
                  <c:v>102436.12999999995</c:v>
                </c:pt>
                <c:pt idx="7">
                  <c:v>80723.219999999972</c:v>
                </c:pt>
                <c:pt idx="8">
                  <c:v>93041.909999999974</c:v>
                </c:pt>
                <c:pt idx="9">
                  <c:v>75479.109999999986</c:v>
                </c:pt>
                <c:pt idx="10">
                  <c:v>61647.76999999999</c:v>
                </c:pt>
                <c:pt idx="11">
                  <c:v>137093.11999999997</c:v>
                </c:pt>
                <c:pt idx="12">
                  <c:v>107185.49999999997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AA-4A8D-8F87-EFF5E5EF4BA7}"/>
            </c:ext>
          </c:extLst>
        </c:ser>
        <c:ser>
          <c:idx val="1"/>
          <c:order val="1"/>
          <c:tx>
            <c:strRef>
              <c:f>Data!$B$29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Data!$C$29:$O$29</c:f>
              <c:numCache>
                <c:formatCode>#,##0.00_);[Red]\(#,##0.00\)</c:formatCode>
                <c:ptCount val="13"/>
                <c:pt idx="0">
                  <c:v>225347.17</c:v>
                </c:pt>
                <c:pt idx="1">
                  <c:v>214026.86</c:v>
                </c:pt>
                <c:pt idx="2">
                  <c:v>197613.44</c:v>
                </c:pt>
                <c:pt idx="3">
                  <c:v>199849.92</c:v>
                </c:pt>
                <c:pt idx="4">
                  <c:v>82770.09</c:v>
                </c:pt>
                <c:pt idx="5">
                  <c:v>69868.990000000005</c:v>
                </c:pt>
                <c:pt idx="6">
                  <c:v>80149.3</c:v>
                </c:pt>
                <c:pt idx="7">
                  <c:v>23936.42</c:v>
                </c:pt>
                <c:pt idx="8">
                  <c:v>50245.65</c:v>
                </c:pt>
                <c:pt idx="9">
                  <c:v>-41086.160000000003</c:v>
                </c:pt>
                <c:pt idx="10">
                  <c:v>-59095.76</c:v>
                </c:pt>
                <c:pt idx="11">
                  <c:v>112144.34</c:v>
                </c:pt>
                <c:pt idx="12">
                  <c:v>62335.39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AA-4A8D-8F87-EFF5E5EF4BA7}"/>
            </c:ext>
          </c:extLst>
        </c:ser>
        <c:ser>
          <c:idx val="2"/>
          <c:order val="2"/>
          <c:tx>
            <c:strRef>
              <c:f>Data!$B$47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Data!$C$47:$O$47</c:f>
              <c:numCache>
                <c:formatCode>#,##0.00_);[Red]\(#,##0.00\)</c:formatCode>
                <c:ptCount val="13"/>
                <c:pt idx="0">
                  <c:v>225347.17</c:v>
                </c:pt>
                <c:pt idx="1">
                  <c:v>259231.57</c:v>
                </c:pt>
                <c:pt idx="2">
                  <c:v>259900.61000000004</c:v>
                </c:pt>
                <c:pt idx="3">
                  <c:v>307959.76</c:v>
                </c:pt>
                <c:pt idx="4">
                  <c:v>199629.83999999997</c:v>
                </c:pt>
                <c:pt idx="5">
                  <c:v>74086.359999999971</c:v>
                </c:pt>
                <c:pt idx="6">
                  <c:v>102436.12999999995</c:v>
                </c:pt>
                <c:pt idx="7">
                  <c:v>65836.179999999993</c:v>
                </c:pt>
                <c:pt idx="8">
                  <c:v>84107.099999999977</c:v>
                </c:pt>
                <c:pt idx="9">
                  <c:v>77359.59</c:v>
                </c:pt>
                <c:pt idx="10">
                  <c:v>72605.439999999973</c:v>
                </c:pt>
                <c:pt idx="11">
                  <c:v>158072.78999999995</c:v>
                </c:pt>
                <c:pt idx="12">
                  <c:v>136929.08999999994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AA-4A8D-8F87-EFF5E5EF4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owls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489827610024247"/>
          <c:y val="0.21226230649740213"/>
          <c:w val="0.81794742081922156"/>
          <c:h val="0.60312764475869085"/>
        </c:manualLayout>
      </c:layout>
      <c:lineChart>
        <c:grouping val="standard"/>
        <c:varyColors val="0"/>
        <c:ser>
          <c:idx val="0"/>
          <c:order val="0"/>
          <c:tx>
            <c:strRef>
              <c:f>Data!$B$13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Data!$C$13:$O$13</c:f>
              <c:numCache>
                <c:formatCode>#,##0.00_);[Red]\(#,##0.00\)</c:formatCode>
                <c:ptCount val="13"/>
                <c:pt idx="0">
                  <c:v>495046.09</c:v>
                </c:pt>
                <c:pt idx="1">
                  <c:v>336807.33000000007</c:v>
                </c:pt>
                <c:pt idx="2">
                  <c:v>448797.43000000005</c:v>
                </c:pt>
                <c:pt idx="3">
                  <c:v>426388.30000000005</c:v>
                </c:pt>
                <c:pt idx="4">
                  <c:v>423343.21000000008</c:v>
                </c:pt>
                <c:pt idx="5">
                  <c:v>368424.85000000009</c:v>
                </c:pt>
                <c:pt idx="6">
                  <c:v>345719.70000000007</c:v>
                </c:pt>
                <c:pt idx="7">
                  <c:v>324071.26000000007</c:v>
                </c:pt>
                <c:pt idx="8">
                  <c:v>298593.99000000011</c:v>
                </c:pt>
                <c:pt idx="9">
                  <c:v>363843.96000000008</c:v>
                </c:pt>
                <c:pt idx="10">
                  <c:v>306188.09000000008</c:v>
                </c:pt>
                <c:pt idx="11">
                  <c:v>320651.2900000001</c:v>
                </c:pt>
                <c:pt idx="12">
                  <c:v>337495.08000000007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F7-4E97-8661-B59C94D286AF}"/>
            </c:ext>
          </c:extLst>
        </c:ser>
        <c:ser>
          <c:idx val="1"/>
          <c:order val="1"/>
          <c:tx>
            <c:strRef>
              <c:f>Data!$B$30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Data!$C$30:$O$30</c:f>
              <c:numCache>
                <c:formatCode>#,##0.00_);[Red]\(#,##0.00\)</c:formatCode>
                <c:ptCount val="13"/>
                <c:pt idx="0">
                  <c:v>495046.09</c:v>
                </c:pt>
                <c:pt idx="1">
                  <c:v>333754.89</c:v>
                </c:pt>
                <c:pt idx="2">
                  <c:v>463249.29000000004</c:v>
                </c:pt>
                <c:pt idx="3">
                  <c:v>419530.8</c:v>
                </c:pt>
                <c:pt idx="4">
                  <c:v>427861.71</c:v>
                </c:pt>
                <c:pt idx="5">
                  <c:v>373992.26</c:v>
                </c:pt>
                <c:pt idx="6">
                  <c:v>404826.03</c:v>
                </c:pt>
                <c:pt idx="7">
                  <c:v>288438.96999999997</c:v>
                </c:pt>
                <c:pt idx="8">
                  <c:v>268092.49</c:v>
                </c:pt>
                <c:pt idx="9">
                  <c:v>300724.45</c:v>
                </c:pt>
                <c:pt idx="10">
                  <c:v>298473.57</c:v>
                </c:pt>
                <c:pt idx="11">
                  <c:v>322634.84999999998</c:v>
                </c:pt>
                <c:pt idx="12">
                  <c:v>374034.64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F7-4E97-8661-B59C94D286AF}"/>
            </c:ext>
          </c:extLst>
        </c:ser>
        <c:ser>
          <c:idx val="2"/>
          <c:order val="2"/>
          <c:tx>
            <c:strRef>
              <c:f>Data!$B$48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Data!$C$48:$O$48</c:f>
              <c:numCache>
                <c:formatCode>#,##0.00_);[Red]\(#,##0.00\)</c:formatCode>
                <c:ptCount val="13"/>
                <c:pt idx="0">
                  <c:v>495046.09</c:v>
                </c:pt>
                <c:pt idx="1">
                  <c:v>336807.33000000007</c:v>
                </c:pt>
                <c:pt idx="2">
                  <c:v>448797.43000000005</c:v>
                </c:pt>
                <c:pt idx="3">
                  <c:v>426388.30000000005</c:v>
                </c:pt>
                <c:pt idx="4">
                  <c:v>423343.21000000008</c:v>
                </c:pt>
                <c:pt idx="5">
                  <c:v>368424.85000000009</c:v>
                </c:pt>
                <c:pt idx="6">
                  <c:v>345719.70000000007</c:v>
                </c:pt>
                <c:pt idx="7">
                  <c:v>328808.28999999998</c:v>
                </c:pt>
                <c:pt idx="8">
                  <c:v>312137.25</c:v>
                </c:pt>
                <c:pt idx="9">
                  <c:v>321938.21999999997</c:v>
                </c:pt>
                <c:pt idx="10">
                  <c:v>309613.70999999996</c:v>
                </c:pt>
                <c:pt idx="11">
                  <c:v>323776.31999999995</c:v>
                </c:pt>
                <c:pt idx="12">
                  <c:v>294956.22999999992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F7-4E97-8661-B59C94D28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CONSOLIDATED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Data!$B$14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Data!$C$14:$O$14</c:f>
              <c:numCache>
                <c:formatCode>#,##0.00_);[Red]\(#,##0.00\)</c:formatCode>
                <c:ptCount val="13"/>
                <c:pt idx="0">
                  <c:v>2207142.71</c:v>
                </c:pt>
                <c:pt idx="1">
                  <c:v>1939932.8900000001</c:v>
                </c:pt>
                <c:pt idx="2">
                  <c:v>2108870.71</c:v>
                </c:pt>
                <c:pt idx="3">
                  <c:v>2182946.0199999996</c:v>
                </c:pt>
                <c:pt idx="4">
                  <c:v>1840649.3699999996</c:v>
                </c:pt>
                <c:pt idx="5">
                  <c:v>1596508.5700000003</c:v>
                </c:pt>
                <c:pt idx="6">
                  <c:v>1563629.3800000004</c:v>
                </c:pt>
                <c:pt idx="7">
                  <c:v>1352712.28</c:v>
                </c:pt>
                <c:pt idx="8">
                  <c:v>1367737.1400000001</c:v>
                </c:pt>
                <c:pt idx="9">
                  <c:v>1469469.6800000002</c:v>
                </c:pt>
                <c:pt idx="10">
                  <c:v>1298572.8400000003</c:v>
                </c:pt>
                <c:pt idx="11">
                  <c:v>1893345.8099999998</c:v>
                </c:pt>
                <c:pt idx="12">
                  <c:v>1838848.36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06-4C82-83D2-7F5534E97396}"/>
            </c:ext>
          </c:extLst>
        </c:ser>
        <c:ser>
          <c:idx val="1"/>
          <c:order val="1"/>
          <c:tx>
            <c:strRef>
              <c:f>Data!$B$32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Data!$C$32:$O$32</c:f>
              <c:numCache>
                <c:formatCode>#,##0.00_);[Red]\(#,##0.00\)</c:formatCode>
                <c:ptCount val="13"/>
                <c:pt idx="0">
                  <c:v>2207142.71</c:v>
                </c:pt>
                <c:pt idx="1">
                  <c:v>1976696.38</c:v>
                </c:pt>
                <c:pt idx="2">
                  <c:v>2523087.0099999998</c:v>
                </c:pt>
                <c:pt idx="3">
                  <c:v>2502509.0599999996</c:v>
                </c:pt>
                <c:pt idx="4">
                  <c:v>1972978.1</c:v>
                </c:pt>
                <c:pt idx="5">
                  <c:v>2040449.55</c:v>
                </c:pt>
                <c:pt idx="6">
                  <c:v>1998747.2400000002</c:v>
                </c:pt>
                <c:pt idx="7">
                  <c:v>1495218.3499999999</c:v>
                </c:pt>
                <c:pt idx="8">
                  <c:v>1592947.2899999998</c:v>
                </c:pt>
                <c:pt idx="9">
                  <c:v>1708707.8400000001</c:v>
                </c:pt>
                <c:pt idx="10">
                  <c:v>1639969.7790000001</c:v>
                </c:pt>
                <c:pt idx="11">
                  <c:v>2094138.63</c:v>
                </c:pt>
                <c:pt idx="12">
                  <c:v>1777084.2499999995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06-4C82-83D2-7F5534E97396}"/>
            </c:ext>
          </c:extLst>
        </c:ser>
        <c:ser>
          <c:idx val="2"/>
          <c:order val="2"/>
          <c:tx>
            <c:strRef>
              <c:f>Data!$B$49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Data!$C$49:$O$49</c:f>
              <c:numCache>
                <c:formatCode>#,##0.00_);[Red]\(#,##0.00\)</c:formatCode>
                <c:ptCount val="13"/>
                <c:pt idx="0">
                  <c:v>2207142.71</c:v>
                </c:pt>
                <c:pt idx="1">
                  <c:v>1939932.8900000001</c:v>
                </c:pt>
                <c:pt idx="2">
                  <c:v>2108870.71</c:v>
                </c:pt>
                <c:pt idx="3">
                  <c:v>2182946.0199999996</c:v>
                </c:pt>
                <c:pt idx="4">
                  <c:v>1840649.3699999996</c:v>
                </c:pt>
                <c:pt idx="5">
                  <c:v>1596508.5700000003</c:v>
                </c:pt>
                <c:pt idx="6">
                  <c:v>1563629.3800000004</c:v>
                </c:pt>
                <c:pt idx="7">
                  <c:v>1672674.96</c:v>
                </c:pt>
                <c:pt idx="8">
                  <c:v>1721040.67</c:v>
                </c:pt>
                <c:pt idx="9">
                  <c:v>1793642.04</c:v>
                </c:pt>
                <c:pt idx="10">
                  <c:v>1703450.1399999997</c:v>
                </c:pt>
                <c:pt idx="11">
                  <c:v>2314273.66</c:v>
                </c:pt>
                <c:pt idx="12">
                  <c:v>2221359.5699999998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06-4C82-83D2-7F5534E97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APS Account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Data!$B$31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val>
            <c:numRef>
              <c:f>Data!$C$31:$O$31</c:f>
              <c:numCache>
                <c:formatCode>#,##0.00_);[Red]\(#,##0.00\)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52076.06</c:v>
                </c:pt>
                <c:pt idx="4">
                  <c:v>48087.85</c:v>
                </c:pt>
                <c:pt idx="5">
                  <c:v>48112.86</c:v>
                </c:pt>
                <c:pt idx="6">
                  <c:v>45909.61</c:v>
                </c:pt>
                <c:pt idx="7">
                  <c:v>36527.72</c:v>
                </c:pt>
                <c:pt idx="8">
                  <c:v>36543.230000000003</c:v>
                </c:pt>
                <c:pt idx="9">
                  <c:v>36244.28</c:v>
                </c:pt>
                <c:pt idx="10">
                  <c:v>24608.52</c:v>
                </c:pt>
                <c:pt idx="11">
                  <c:v>24618.63</c:v>
                </c:pt>
                <c:pt idx="12">
                  <c:v>379.42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66-A407-3DA944EC9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cat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Algn val="ctr"/>
        <c:lblOffset val="100"/>
        <c:noMultiLvlLbl val="0"/>
      </c:cat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Fernvale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Data!$C$4:$O$4</c:f>
              <c:numCache>
                <c:formatCode>#,##0.00_);[Red]\(#,##0.00\)</c:formatCode>
                <c:ptCount val="13"/>
                <c:pt idx="0">
                  <c:v>145252.26999999999</c:v>
                </c:pt>
                <c:pt idx="1">
                  <c:v>125475.63</c:v>
                </c:pt>
                <c:pt idx="2">
                  <c:v>121412.18000000002</c:v>
                </c:pt>
                <c:pt idx="3">
                  <c:v>129094.71000000002</c:v>
                </c:pt>
                <c:pt idx="4">
                  <c:v>113820.09000000003</c:v>
                </c:pt>
                <c:pt idx="5">
                  <c:v>113054.18000000005</c:v>
                </c:pt>
                <c:pt idx="6">
                  <c:v>99061.96000000005</c:v>
                </c:pt>
                <c:pt idx="7">
                  <c:v>81200.620000000054</c:v>
                </c:pt>
                <c:pt idx="8">
                  <c:v>79262.510000000068</c:v>
                </c:pt>
                <c:pt idx="9">
                  <c:v>90425.340000000055</c:v>
                </c:pt>
                <c:pt idx="10">
                  <c:v>78374.920000000071</c:v>
                </c:pt>
                <c:pt idx="11">
                  <c:v>145453.29000000012</c:v>
                </c:pt>
                <c:pt idx="12">
                  <c:v>139931.5800000001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8-48FD-A19C-A89E154DF053}"/>
            </c:ext>
          </c:extLst>
        </c:ser>
        <c:ser>
          <c:idx val="1"/>
          <c:order val="1"/>
          <c:tx>
            <c:strRef>
              <c:f>Data!$B$21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Data!$C$21:$O$21</c:f>
              <c:numCache>
                <c:formatCode>#,##0.00_);[Red]\(#,##0.00\)</c:formatCode>
                <c:ptCount val="13"/>
                <c:pt idx="0">
                  <c:v>145252.26999999999</c:v>
                </c:pt>
                <c:pt idx="1">
                  <c:v>142802.51</c:v>
                </c:pt>
                <c:pt idx="2">
                  <c:v>183941.09</c:v>
                </c:pt>
                <c:pt idx="3">
                  <c:v>207744.62</c:v>
                </c:pt>
                <c:pt idx="4">
                  <c:v>136583.07</c:v>
                </c:pt>
                <c:pt idx="5">
                  <c:v>152482.54999999999</c:v>
                </c:pt>
                <c:pt idx="6">
                  <c:v>151064.13</c:v>
                </c:pt>
                <c:pt idx="7">
                  <c:v>84841.919999999998</c:v>
                </c:pt>
                <c:pt idx="8">
                  <c:v>91434.559999999998</c:v>
                </c:pt>
                <c:pt idx="9">
                  <c:v>73575.100000000006</c:v>
                </c:pt>
                <c:pt idx="10">
                  <c:v>53668.398999999998</c:v>
                </c:pt>
                <c:pt idx="11">
                  <c:v>129522.61</c:v>
                </c:pt>
                <c:pt idx="12">
                  <c:v>70014.11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8-48FD-A19C-A89E154DF053}"/>
            </c:ext>
          </c:extLst>
        </c:ser>
        <c:ser>
          <c:idx val="2"/>
          <c:order val="2"/>
          <c:tx>
            <c:strRef>
              <c:f>Data!$B$39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Data!$C$39:$O$39</c:f>
              <c:numCache>
                <c:formatCode>#,##0.00_);[Red]\(#,##0.00\)</c:formatCode>
                <c:ptCount val="13"/>
                <c:pt idx="0">
                  <c:v>145252.26999999999</c:v>
                </c:pt>
                <c:pt idx="1">
                  <c:v>125475.63</c:v>
                </c:pt>
                <c:pt idx="2">
                  <c:v>121412.18000000002</c:v>
                </c:pt>
                <c:pt idx="3">
                  <c:v>129094.71000000002</c:v>
                </c:pt>
                <c:pt idx="4">
                  <c:v>113820.09000000003</c:v>
                </c:pt>
                <c:pt idx="5">
                  <c:v>113054.18000000005</c:v>
                </c:pt>
                <c:pt idx="6">
                  <c:v>99061.96000000005</c:v>
                </c:pt>
                <c:pt idx="7">
                  <c:v>127208.43000000005</c:v>
                </c:pt>
                <c:pt idx="8">
                  <c:v>123453.93000000002</c:v>
                </c:pt>
                <c:pt idx="9">
                  <c:v>163571.6</c:v>
                </c:pt>
                <c:pt idx="10">
                  <c:v>146743.45000000004</c:v>
                </c:pt>
                <c:pt idx="11">
                  <c:v>209021.11000000002</c:v>
                </c:pt>
                <c:pt idx="12">
                  <c:v>201052.83000000005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8-48FD-A19C-A89E154DF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GLENMERE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Data!$B$5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Data!$C$5:$O$5</c:f>
              <c:numCache>
                <c:formatCode>#,##0.00_);[Red]\(#,##0.00\)</c:formatCode>
                <c:ptCount val="13"/>
                <c:pt idx="0">
                  <c:v>103973.21</c:v>
                </c:pt>
                <c:pt idx="1">
                  <c:v>91045.05</c:v>
                </c:pt>
                <c:pt idx="2">
                  <c:v>96254.640000000014</c:v>
                </c:pt>
                <c:pt idx="3">
                  <c:v>106863.01000000002</c:v>
                </c:pt>
                <c:pt idx="4">
                  <c:v>96618.540000000008</c:v>
                </c:pt>
                <c:pt idx="5">
                  <c:v>98509.560000000027</c:v>
                </c:pt>
                <c:pt idx="6">
                  <c:v>89746.060000000027</c:v>
                </c:pt>
                <c:pt idx="7">
                  <c:v>72295.270000000019</c:v>
                </c:pt>
                <c:pt idx="8">
                  <c:v>68495.660000000033</c:v>
                </c:pt>
                <c:pt idx="9">
                  <c:v>83769.530000000028</c:v>
                </c:pt>
                <c:pt idx="10">
                  <c:v>78672.660000000033</c:v>
                </c:pt>
                <c:pt idx="11">
                  <c:v>120193.52000000005</c:v>
                </c:pt>
                <c:pt idx="12">
                  <c:v>110068.59000000004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C-478E-9655-9DE2D5DCA718}"/>
            </c:ext>
          </c:extLst>
        </c:ser>
        <c:ser>
          <c:idx val="1"/>
          <c:order val="1"/>
          <c:tx>
            <c:strRef>
              <c:f>Data!$B$22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Data!$C$22:$O$22</c:f>
              <c:numCache>
                <c:formatCode>#,##0.00_);[Red]\(#,##0.00\)</c:formatCode>
                <c:ptCount val="13"/>
                <c:pt idx="0">
                  <c:v>103973.21</c:v>
                </c:pt>
                <c:pt idx="1">
                  <c:v>102458.82</c:v>
                </c:pt>
                <c:pt idx="2">
                  <c:v>108059.51</c:v>
                </c:pt>
                <c:pt idx="3">
                  <c:v>138014.71</c:v>
                </c:pt>
                <c:pt idx="4">
                  <c:v>101545.4</c:v>
                </c:pt>
                <c:pt idx="5">
                  <c:v>115340.51</c:v>
                </c:pt>
                <c:pt idx="6">
                  <c:v>112508.39</c:v>
                </c:pt>
                <c:pt idx="7">
                  <c:v>82473.67</c:v>
                </c:pt>
                <c:pt idx="8">
                  <c:v>82617.600000000006</c:v>
                </c:pt>
                <c:pt idx="9">
                  <c:v>98766.06</c:v>
                </c:pt>
                <c:pt idx="10">
                  <c:v>83855.320000000007</c:v>
                </c:pt>
                <c:pt idx="11">
                  <c:v>116239.61</c:v>
                </c:pt>
                <c:pt idx="12">
                  <c:v>88324.56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C-478E-9655-9DE2D5DCA718}"/>
            </c:ext>
          </c:extLst>
        </c:ser>
        <c:ser>
          <c:idx val="2"/>
          <c:order val="2"/>
          <c:tx>
            <c:strRef>
              <c:f>Data!$B$40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Data!$C$40:$O$40</c:f>
              <c:numCache>
                <c:formatCode>#,##0.00_);[Red]\(#,##0.00\)</c:formatCode>
                <c:ptCount val="13"/>
                <c:pt idx="0">
                  <c:v>103973.21</c:v>
                </c:pt>
                <c:pt idx="1">
                  <c:v>91045.05</c:v>
                </c:pt>
                <c:pt idx="2">
                  <c:v>96254.640000000014</c:v>
                </c:pt>
                <c:pt idx="3">
                  <c:v>106863.01000000002</c:v>
                </c:pt>
                <c:pt idx="4">
                  <c:v>96618.540000000008</c:v>
                </c:pt>
                <c:pt idx="5">
                  <c:v>98509.560000000027</c:v>
                </c:pt>
                <c:pt idx="6">
                  <c:v>89746.060000000027</c:v>
                </c:pt>
                <c:pt idx="7">
                  <c:v>94797.780000000013</c:v>
                </c:pt>
                <c:pt idx="8">
                  <c:v>89501.500000000015</c:v>
                </c:pt>
                <c:pt idx="9">
                  <c:v>104547.95000000003</c:v>
                </c:pt>
                <c:pt idx="10">
                  <c:v>99806.810000000012</c:v>
                </c:pt>
                <c:pt idx="11">
                  <c:v>140684.49000000002</c:v>
                </c:pt>
                <c:pt idx="12">
                  <c:v>128103.87000000001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C-478E-9655-9DE2D5DCA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HINCKLEY</a:t>
            </a:r>
            <a:r>
              <a:rPr lang="en-GB" baseline="0"/>
              <a:t> PARKS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Data!$B$6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Data!$C$6:$O$6</c:f>
              <c:numCache>
                <c:formatCode>#,##0.00_);[Red]\(#,##0.00\)</c:formatCode>
                <c:ptCount val="13"/>
                <c:pt idx="0">
                  <c:v>216687.21</c:v>
                </c:pt>
                <c:pt idx="1">
                  <c:v>190542.39999999997</c:v>
                </c:pt>
                <c:pt idx="2">
                  <c:v>169645.01999999996</c:v>
                </c:pt>
                <c:pt idx="3">
                  <c:v>174259.01999999996</c:v>
                </c:pt>
                <c:pt idx="4">
                  <c:v>151363.63999999996</c:v>
                </c:pt>
                <c:pt idx="5">
                  <c:v>138011.12</c:v>
                </c:pt>
                <c:pt idx="6">
                  <c:v>113666.18</c:v>
                </c:pt>
                <c:pt idx="7">
                  <c:v>82126.069999999949</c:v>
                </c:pt>
                <c:pt idx="8">
                  <c:v>108515.80999999994</c:v>
                </c:pt>
                <c:pt idx="9">
                  <c:v>116963.56999999989</c:v>
                </c:pt>
                <c:pt idx="10">
                  <c:v>109069.06999999989</c:v>
                </c:pt>
                <c:pt idx="11">
                  <c:v>208353.10999999987</c:v>
                </c:pt>
                <c:pt idx="12">
                  <c:v>195435.37999999989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24-47CF-B95E-E9AACCAC6485}"/>
            </c:ext>
          </c:extLst>
        </c:ser>
        <c:ser>
          <c:idx val="1"/>
          <c:order val="1"/>
          <c:tx>
            <c:strRef>
              <c:f>Data!$B$23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Data!$C$23:$O$23</c:f>
              <c:numCache>
                <c:formatCode>#,##0.00_);[Red]\(#,##0.00\)</c:formatCode>
                <c:ptCount val="13"/>
                <c:pt idx="0">
                  <c:v>216687.21</c:v>
                </c:pt>
                <c:pt idx="1">
                  <c:v>209540.64</c:v>
                </c:pt>
                <c:pt idx="2">
                  <c:v>286235.65999999997</c:v>
                </c:pt>
                <c:pt idx="3">
                  <c:v>227845.42</c:v>
                </c:pt>
                <c:pt idx="4">
                  <c:v>202070.48</c:v>
                </c:pt>
                <c:pt idx="5">
                  <c:v>208728.86</c:v>
                </c:pt>
                <c:pt idx="6">
                  <c:v>175307.76</c:v>
                </c:pt>
                <c:pt idx="7">
                  <c:v>106929.32</c:v>
                </c:pt>
                <c:pt idx="8">
                  <c:v>98854.17</c:v>
                </c:pt>
                <c:pt idx="9">
                  <c:v>159664.21</c:v>
                </c:pt>
                <c:pt idx="10">
                  <c:v>120983.52</c:v>
                </c:pt>
                <c:pt idx="11">
                  <c:v>233590.44</c:v>
                </c:pt>
                <c:pt idx="12">
                  <c:v>174140.54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24-47CF-B95E-E9AACCAC6485}"/>
            </c:ext>
          </c:extLst>
        </c:ser>
        <c:ser>
          <c:idx val="2"/>
          <c:order val="2"/>
          <c:tx>
            <c:strRef>
              <c:f>Data!$B$41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Data!$C$41:$O$41</c:f>
              <c:numCache>
                <c:formatCode>#,##0.00_);[Red]\(#,##0.00\)</c:formatCode>
                <c:ptCount val="13"/>
                <c:pt idx="0">
                  <c:v>216687.21</c:v>
                </c:pt>
                <c:pt idx="1">
                  <c:v>190542.39999999997</c:v>
                </c:pt>
                <c:pt idx="2">
                  <c:v>169645.01999999996</c:v>
                </c:pt>
                <c:pt idx="3">
                  <c:v>174259.01999999996</c:v>
                </c:pt>
                <c:pt idx="4">
                  <c:v>151363.63999999996</c:v>
                </c:pt>
                <c:pt idx="5">
                  <c:v>138011.12</c:v>
                </c:pt>
                <c:pt idx="6">
                  <c:v>113666.18</c:v>
                </c:pt>
                <c:pt idx="7">
                  <c:v>134152.57</c:v>
                </c:pt>
                <c:pt idx="8">
                  <c:v>158673.71999999997</c:v>
                </c:pt>
                <c:pt idx="9">
                  <c:v>162050.63</c:v>
                </c:pt>
                <c:pt idx="10">
                  <c:v>159886.32</c:v>
                </c:pt>
                <c:pt idx="11">
                  <c:v>259186.43000000011</c:v>
                </c:pt>
                <c:pt idx="12">
                  <c:v>243748.87000000014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24-47CF-B95E-E9AACCAC6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HOLLYCROFT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Data!$B$7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Data!$C$7:$O$7</c:f>
              <c:numCache>
                <c:formatCode>#,##0.00_);[Red]\(#,##0.00\)</c:formatCode>
                <c:ptCount val="13"/>
                <c:pt idx="0">
                  <c:v>123921.84</c:v>
                </c:pt>
                <c:pt idx="1">
                  <c:v>105464.81999999999</c:v>
                </c:pt>
                <c:pt idx="2">
                  <c:v>102813.5</c:v>
                </c:pt>
                <c:pt idx="3">
                  <c:v>104906.28999999998</c:v>
                </c:pt>
                <c:pt idx="4">
                  <c:v>99140.449999999968</c:v>
                </c:pt>
                <c:pt idx="5">
                  <c:v>96941.109999999971</c:v>
                </c:pt>
                <c:pt idx="6">
                  <c:v>106938.41999999997</c:v>
                </c:pt>
                <c:pt idx="7">
                  <c:v>107823.48999999999</c:v>
                </c:pt>
                <c:pt idx="8">
                  <c:v>101914.56999999998</c:v>
                </c:pt>
                <c:pt idx="9">
                  <c:v>111461.84999999998</c:v>
                </c:pt>
                <c:pt idx="10">
                  <c:v>95685.779999999955</c:v>
                </c:pt>
                <c:pt idx="11">
                  <c:v>133292.39999999997</c:v>
                </c:pt>
                <c:pt idx="12">
                  <c:v>126007.07999999996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C9-44B9-A1F7-742C216828E9}"/>
            </c:ext>
          </c:extLst>
        </c:ser>
        <c:ser>
          <c:idx val="1"/>
          <c:order val="1"/>
          <c:tx>
            <c:strRef>
              <c:f>Data!$B$24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Data!$C$24:$O$24</c:f>
              <c:numCache>
                <c:formatCode>#,##0.00_);[Red]\(#,##0.00\)</c:formatCode>
                <c:ptCount val="13"/>
                <c:pt idx="0">
                  <c:v>123921.84</c:v>
                </c:pt>
                <c:pt idx="1">
                  <c:v>120282.14</c:v>
                </c:pt>
                <c:pt idx="2">
                  <c:v>112184.85</c:v>
                </c:pt>
                <c:pt idx="3">
                  <c:v>115726.73</c:v>
                </c:pt>
                <c:pt idx="4">
                  <c:v>117926.54</c:v>
                </c:pt>
                <c:pt idx="5">
                  <c:v>129059.9</c:v>
                </c:pt>
                <c:pt idx="6">
                  <c:v>133541.26</c:v>
                </c:pt>
                <c:pt idx="7">
                  <c:v>128833.8</c:v>
                </c:pt>
                <c:pt idx="8">
                  <c:v>181839.17</c:v>
                </c:pt>
                <c:pt idx="9">
                  <c:v>168751.38</c:v>
                </c:pt>
                <c:pt idx="10">
                  <c:v>185664.49</c:v>
                </c:pt>
                <c:pt idx="11">
                  <c:v>179726.67</c:v>
                </c:pt>
                <c:pt idx="12">
                  <c:v>169822.11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C9-44B9-A1F7-742C216828E9}"/>
            </c:ext>
          </c:extLst>
        </c:ser>
        <c:ser>
          <c:idx val="2"/>
          <c:order val="2"/>
          <c:tx>
            <c:strRef>
              <c:f>Data!$B$42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Data!$C$42:$O$42</c:f>
              <c:numCache>
                <c:formatCode>#,##0.00_);[Red]\(#,##0.00\)</c:formatCode>
                <c:ptCount val="13"/>
                <c:pt idx="0">
                  <c:v>123921.84</c:v>
                </c:pt>
                <c:pt idx="1">
                  <c:v>105464.81999999999</c:v>
                </c:pt>
                <c:pt idx="2">
                  <c:v>102813.5</c:v>
                </c:pt>
                <c:pt idx="3">
                  <c:v>104906.28999999998</c:v>
                </c:pt>
                <c:pt idx="4">
                  <c:v>99140.449999999968</c:v>
                </c:pt>
                <c:pt idx="5">
                  <c:v>96941.109999999971</c:v>
                </c:pt>
                <c:pt idx="6">
                  <c:v>106938.41999999997</c:v>
                </c:pt>
                <c:pt idx="7">
                  <c:v>134425.36000000002</c:v>
                </c:pt>
                <c:pt idx="8">
                  <c:v>128430.58000000002</c:v>
                </c:pt>
                <c:pt idx="9">
                  <c:v>137892</c:v>
                </c:pt>
                <c:pt idx="10">
                  <c:v>122030.06999999998</c:v>
                </c:pt>
                <c:pt idx="11">
                  <c:v>159550.84</c:v>
                </c:pt>
                <c:pt idx="12">
                  <c:v>152177.35999999999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C9-44B9-A1F7-742C21682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langmoor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Data!$B$8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Data!$C$8:$O$8</c:f>
              <c:numCache>
                <c:formatCode>#,##0.00_);[Red]\(#,##0.00\)</c:formatCode>
                <c:ptCount val="13"/>
                <c:pt idx="0">
                  <c:v>213054.12</c:v>
                </c:pt>
                <c:pt idx="1">
                  <c:v>201698.46000000002</c:v>
                </c:pt>
                <c:pt idx="2">
                  <c:v>208621.47000000003</c:v>
                </c:pt>
                <c:pt idx="3">
                  <c:v>208638.39</c:v>
                </c:pt>
                <c:pt idx="4">
                  <c:v>199040.48</c:v>
                </c:pt>
                <c:pt idx="5">
                  <c:v>209531.47000000003</c:v>
                </c:pt>
                <c:pt idx="6">
                  <c:v>199008.35000000003</c:v>
                </c:pt>
                <c:pt idx="7">
                  <c:v>181756.28999999998</c:v>
                </c:pt>
                <c:pt idx="8">
                  <c:v>189260.94999999995</c:v>
                </c:pt>
                <c:pt idx="9">
                  <c:v>191007.59999999998</c:v>
                </c:pt>
                <c:pt idx="10">
                  <c:v>186538.81999999998</c:v>
                </c:pt>
                <c:pt idx="11">
                  <c:v>224911.99</c:v>
                </c:pt>
                <c:pt idx="12">
                  <c:v>211465.41000000003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A3-4783-BDAA-BE5360EDA393}"/>
            </c:ext>
          </c:extLst>
        </c:ser>
        <c:ser>
          <c:idx val="1"/>
          <c:order val="1"/>
          <c:tx>
            <c:strRef>
              <c:f>Data!$B$25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Data!$C$25:$O$25</c:f>
              <c:numCache>
                <c:formatCode>#,##0.00_);[Red]\(#,##0.00\)</c:formatCode>
                <c:ptCount val="13"/>
                <c:pt idx="0">
                  <c:v>213054.12</c:v>
                </c:pt>
                <c:pt idx="1">
                  <c:v>211082.39</c:v>
                </c:pt>
                <c:pt idx="2">
                  <c:v>239412.94</c:v>
                </c:pt>
                <c:pt idx="3">
                  <c:v>227873.19999999998</c:v>
                </c:pt>
                <c:pt idx="4">
                  <c:v>217067.81</c:v>
                </c:pt>
                <c:pt idx="5">
                  <c:v>224766.64</c:v>
                </c:pt>
                <c:pt idx="6">
                  <c:v>216117.28</c:v>
                </c:pt>
                <c:pt idx="7">
                  <c:v>186037</c:v>
                </c:pt>
                <c:pt idx="8">
                  <c:v>190512.16</c:v>
                </c:pt>
                <c:pt idx="9">
                  <c:v>216763.57</c:v>
                </c:pt>
                <c:pt idx="10">
                  <c:v>209406.92</c:v>
                </c:pt>
                <c:pt idx="11">
                  <c:v>250100.6</c:v>
                </c:pt>
                <c:pt idx="12">
                  <c:v>239449.31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A3-4783-BDAA-BE5360EDA393}"/>
            </c:ext>
          </c:extLst>
        </c:ser>
        <c:ser>
          <c:idx val="2"/>
          <c:order val="2"/>
          <c:tx>
            <c:strRef>
              <c:f>Data!$B$43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Data!$C$43:$O$43</c:f>
              <c:numCache>
                <c:formatCode>#,##0.00_);[Red]\(#,##0.00\)</c:formatCode>
                <c:ptCount val="13"/>
                <c:pt idx="0">
                  <c:v>213054.12</c:v>
                </c:pt>
                <c:pt idx="1">
                  <c:v>201698.46000000002</c:v>
                </c:pt>
                <c:pt idx="2">
                  <c:v>208621.47000000003</c:v>
                </c:pt>
                <c:pt idx="3">
                  <c:v>208638.39</c:v>
                </c:pt>
                <c:pt idx="4">
                  <c:v>199040.48</c:v>
                </c:pt>
                <c:pt idx="5">
                  <c:v>209531.47000000003</c:v>
                </c:pt>
                <c:pt idx="6">
                  <c:v>199008.35000000003</c:v>
                </c:pt>
                <c:pt idx="7">
                  <c:v>210454.22</c:v>
                </c:pt>
                <c:pt idx="8">
                  <c:v>222704.96</c:v>
                </c:pt>
                <c:pt idx="9">
                  <c:v>214117.59999999998</c:v>
                </c:pt>
                <c:pt idx="10">
                  <c:v>214493.06</c:v>
                </c:pt>
                <c:pt idx="11">
                  <c:v>252304.4</c:v>
                </c:pt>
                <c:pt idx="12">
                  <c:v>242836.90999999997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A3-4783-BDAA-BE5360EDA3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little hill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Data!$B$9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Data!$C$9:$O$9</c:f>
              <c:numCache>
                <c:formatCode>#,##0.00_);[Red]\(#,##0.00\)</c:formatCode>
                <c:ptCount val="13"/>
                <c:pt idx="0">
                  <c:v>83575.48</c:v>
                </c:pt>
                <c:pt idx="1">
                  <c:v>52963.550000000017</c:v>
                </c:pt>
                <c:pt idx="2">
                  <c:v>84763.260000000068</c:v>
                </c:pt>
                <c:pt idx="3">
                  <c:v>85571.780000000072</c:v>
                </c:pt>
                <c:pt idx="4">
                  <c:v>64199.140000000043</c:v>
                </c:pt>
                <c:pt idx="5">
                  <c:v>67718.730000000069</c:v>
                </c:pt>
                <c:pt idx="6">
                  <c:v>81348.140000000087</c:v>
                </c:pt>
                <c:pt idx="7">
                  <c:v>53741.45000000007</c:v>
                </c:pt>
                <c:pt idx="8">
                  <c:v>62158.640000000072</c:v>
                </c:pt>
                <c:pt idx="9">
                  <c:v>65479.010000000068</c:v>
                </c:pt>
                <c:pt idx="10">
                  <c:v>36501.860000000073</c:v>
                </c:pt>
                <c:pt idx="11">
                  <c:v>124590.39000000004</c:v>
                </c:pt>
                <c:pt idx="12">
                  <c:v>109907.25000000003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6-4E5A-A4F5-846271082704}"/>
            </c:ext>
          </c:extLst>
        </c:ser>
        <c:ser>
          <c:idx val="1"/>
          <c:order val="1"/>
          <c:tx>
            <c:strRef>
              <c:f>Data!$B$26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Data!$C$26:$O$26</c:f>
              <c:numCache>
                <c:formatCode>#,##0.00_);[Red]\(#,##0.00\)</c:formatCode>
                <c:ptCount val="13"/>
                <c:pt idx="0">
                  <c:v>83575.48</c:v>
                </c:pt>
                <c:pt idx="1">
                  <c:v>89155.87</c:v>
                </c:pt>
                <c:pt idx="2">
                  <c:v>130642.37</c:v>
                </c:pt>
                <c:pt idx="3">
                  <c:v>91564.109999999986</c:v>
                </c:pt>
                <c:pt idx="4">
                  <c:v>2088.8300000000017</c:v>
                </c:pt>
                <c:pt idx="5">
                  <c:v>122918.19</c:v>
                </c:pt>
                <c:pt idx="6">
                  <c:v>88244.78</c:v>
                </c:pt>
                <c:pt idx="7">
                  <c:v>59399.9</c:v>
                </c:pt>
                <c:pt idx="8">
                  <c:v>46586.9</c:v>
                </c:pt>
                <c:pt idx="9">
                  <c:v>77483.72</c:v>
                </c:pt>
                <c:pt idx="10">
                  <c:v>74574.149999999994</c:v>
                </c:pt>
                <c:pt idx="11">
                  <c:v>127872.38</c:v>
                </c:pt>
                <c:pt idx="12">
                  <c:v>41630.269999999997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06-4E5A-A4F5-846271082704}"/>
            </c:ext>
          </c:extLst>
        </c:ser>
        <c:ser>
          <c:idx val="2"/>
          <c:order val="2"/>
          <c:tx>
            <c:strRef>
              <c:f>Data!$B$44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Data!$C$44:$O$44</c:f>
              <c:numCache>
                <c:formatCode>#,##0.00_);[Red]\(#,##0.00\)</c:formatCode>
                <c:ptCount val="13"/>
                <c:pt idx="0">
                  <c:v>83575.48</c:v>
                </c:pt>
                <c:pt idx="1">
                  <c:v>52963.550000000017</c:v>
                </c:pt>
                <c:pt idx="2">
                  <c:v>84763.260000000068</c:v>
                </c:pt>
                <c:pt idx="3">
                  <c:v>85571.780000000072</c:v>
                </c:pt>
                <c:pt idx="4">
                  <c:v>64199.140000000043</c:v>
                </c:pt>
                <c:pt idx="5">
                  <c:v>67718.730000000069</c:v>
                </c:pt>
                <c:pt idx="6">
                  <c:v>81348.140000000087</c:v>
                </c:pt>
                <c:pt idx="7">
                  <c:v>30936.869999999937</c:v>
                </c:pt>
                <c:pt idx="8">
                  <c:v>51904.769999999931</c:v>
                </c:pt>
                <c:pt idx="9">
                  <c:v>57363.739999999932</c:v>
                </c:pt>
                <c:pt idx="10">
                  <c:v>12975.099999999919</c:v>
                </c:pt>
                <c:pt idx="11">
                  <c:v>96967.609999999899</c:v>
                </c:pt>
                <c:pt idx="12">
                  <c:v>89340.379999999917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06-4E5A-A4F5-846271082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new lubbesthorpe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Data!$B$10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Data!$C$10:$O$10</c:f>
              <c:numCache>
                <c:formatCode>#,##0.00_);[Red]\(#,##0.00\)</c:formatCode>
                <c:ptCount val="13"/>
                <c:pt idx="0">
                  <c:v>301734.34999999998</c:v>
                </c:pt>
                <c:pt idx="1">
                  <c:v>294708.13999999996</c:v>
                </c:pt>
                <c:pt idx="2">
                  <c:v>307831.44999999995</c:v>
                </c:pt>
                <c:pt idx="3">
                  <c:v>307221.39999999991</c:v>
                </c:pt>
                <c:pt idx="4">
                  <c:v>288986.93999999994</c:v>
                </c:pt>
                <c:pt idx="5">
                  <c:v>285047.18999999994</c:v>
                </c:pt>
                <c:pt idx="6">
                  <c:v>264850.12</c:v>
                </c:pt>
                <c:pt idx="7">
                  <c:v>226382.61000000004</c:v>
                </c:pt>
                <c:pt idx="8">
                  <c:v>224681.10000000006</c:v>
                </c:pt>
                <c:pt idx="9">
                  <c:v>210675.20000000007</c:v>
                </c:pt>
                <c:pt idx="10">
                  <c:v>202273.75000000009</c:v>
                </c:pt>
                <c:pt idx="11">
                  <c:v>273567.03000000003</c:v>
                </c:pt>
                <c:pt idx="12">
                  <c:v>312012.30000000005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6-4BBA-8241-49D938469719}"/>
            </c:ext>
          </c:extLst>
        </c:ser>
        <c:ser>
          <c:idx val="1"/>
          <c:order val="1"/>
          <c:tx>
            <c:strRef>
              <c:f>Data!$B$27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Data!$C$27:$O$27</c:f>
              <c:numCache>
                <c:formatCode>#,##0.00_);[Red]\(#,##0.00\)</c:formatCode>
                <c:ptCount val="13"/>
                <c:pt idx="0">
                  <c:v>301734.34999999998</c:v>
                </c:pt>
                <c:pt idx="1">
                  <c:v>280957.46999999997</c:v>
                </c:pt>
                <c:pt idx="2">
                  <c:v>466514.26</c:v>
                </c:pt>
                <c:pt idx="3">
                  <c:v>443196.34</c:v>
                </c:pt>
                <c:pt idx="4">
                  <c:v>418397.25</c:v>
                </c:pt>
                <c:pt idx="5">
                  <c:v>429144.12</c:v>
                </c:pt>
                <c:pt idx="6">
                  <c:v>432573.95</c:v>
                </c:pt>
                <c:pt idx="7">
                  <c:v>339052.33</c:v>
                </c:pt>
                <c:pt idx="8">
                  <c:v>357001.49</c:v>
                </c:pt>
                <c:pt idx="9">
                  <c:v>387184.95</c:v>
                </c:pt>
                <c:pt idx="10">
                  <c:v>394045.6</c:v>
                </c:pt>
                <c:pt idx="11">
                  <c:v>302383.78000000003</c:v>
                </c:pt>
                <c:pt idx="12">
                  <c:v>310854.98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6-4BBA-8241-49D938469719}"/>
            </c:ext>
          </c:extLst>
        </c:ser>
        <c:ser>
          <c:idx val="2"/>
          <c:order val="2"/>
          <c:tx>
            <c:strRef>
              <c:f>Data!$B$45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Data!$C$45:$O$45</c:f>
              <c:numCache>
                <c:formatCode>#,##0.00_);[Red]\(#,##0.00\)</c:formatCode>
                <c:ptCount val="13"/>
                <c:pt idx="0">
                  <c:v>301734.34999999998</c:v>
                </c:pt>
                <c:pt idx="1">
                  <c:v>294708.13999999996</c:v>
                </c:pt>
                <c:pt idx="2">
                  <c:v>307831.44999999995</c:v>
                </c:pt>
                <c:pt idx="3">
                  <c:v>307221.39999999991</c:v>
                </c:pt>
                <c:pt idx="4">
                  <c:v>288986.93999999994</c:v>
                </c:pt>
                <c:pt idx="5">
                  <c:v>285047.18999999994</c:v>
                </c:pt>
                <c:pt idx="6">
                  <c:v>264850.12</c:v>
                </c:pt>
                <c:pt idx="7">
                  <c:v>404060.57999999996</c:v>
                </c:pt>
                <c:pt idx="8">
                  <c:v>406810.30999999994</c:v>
                </c:pt>
                <c:pt idx="9">
                  <c:v>390157.62999999995</c:v>
                </c:pt>
                <c:pt idx="10">
                  <c:v>389633.68999999994</c:v>
                </c:pt>
                <c:pt idx="11">
                  <c:v>467695.90999999992</c:v>
                </c:pt>
                <c:pt idx="12">
                  <c:v>500432.09999999986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6-4BBA-8241-49D938469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NEWLANDS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Data!$B$11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Data!$C$11:$O$11</c:f>
              <c:numCache>
                <c:formatCode>#,##0.00_);[Red]\(#,##0.00\)</c:formatCode>
                <c:ptCount val="13"/>
                <c:pt idx="0">
                  <c:v>298550.96999999997</c:v>
                </c:pt>
                <c:pt idx="1">
                  <c:v>281995.93999999994</c:v>
                </c:pt>
                <c:pt idx="2">
                  <c:v>308831.14999999991</c:v>
                </c:pt>
                <c:pt idx="3">
                  <c:v>332043.35999999993</c:v>
                </c:pt>
                <c:pt idx="4">
                  <c:v>204507.03999999995</c:v>
                </c:pt>
                <c:pt idx="5">
                  <c:v>145184</c:v>
                </c:pt>
                <c:pt idx="6">
                  <c:v>160854.32</c:v>
                </c:pt>
                <c:pt idx="7">
                  <c:v>142592</c:v>
                </c:pt>
                <c:pt idx="8">
                  <c:v>141812</c:v>
                </c:pt>
                <c:pt idx="9">
                  <c:v>160364.51</c:v>
                </c:pt>
                <c:pt idx="10">
                  <c:v>143620.12000000002</c:v>
                </c:pt>
                <c:pt idx="11">
                  <c:v>205239.67</c:v>
                </c:pt>
                <c:pt idx="12">
                  <c:v>189340.19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8-4FC6-9FC1-EE371270C95A}"/>
            </c:ext>
          </c:extLst>
        </c:ser>
        <c:ser>
          <c:idx val="1"/>
          <c:order val="1"/>
          <c:tx>
            <c:strRef>
              <c:f>Data!$B$28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Data!$C$28:$O$28</c:f>
              <c:numCache>
                <c:formatCode>#,##0.00_);[Red]\(#,##0.00\)</c:formatCode>
                <c:ptCount val="13"/>
                <c:pt idx="0">
                  <c:v>298550.96999999997</c:v>
                </c:pt>
                <c:pt idx="1">
                  <c:v>272634.78999999998</c:v>
                </c:pt>
                <c:pt idx="2">
                  <c:v>335233.59999999998</c:v>
                </c:pt>
                <c:pt idx="3">
                  <c:v>379087.15</c:v>
                </c:pt>
                <c:pt idx="4">
                  <c:v>218579.07</c:v>
                </c:pt>
                <c:pt idx="5">
                  <c:v>166034.67000000001</c:v>
                </c:pt>
                <c:pt idx="6">
                  <c:v>158504.75</c:v>
                </c:pt>
                <c:pt idx="7">
                  <c:v>158747.29999999999</c:v>
                </c:pt>
                <c:pt idx="8">
                  <c:v>189219.87</c:v>
                </c:pt>
                <c:pt idx="9">
                  <c:v>230636.28</c:v>
                </c:pt>
                <c:pt idx="10">
                  <c:v>253785.05</c:v>
                </c:pt>
                <c:pt idx="11">
                  <c:v>295304.71999999997</c:v>
                </c:pt>
                <c:pt idx="12">
                  <c:v>246098.92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38-4FC6-9FC1-EE371270C95A}"/>
            </c:ext>
          </c:extLst>
        </c:ser>
        <c:ser>
          <c:idx val="2"/>
          <c:order val="2"/>
          <c:tx>
            <c:strRef>
              <c:f>Data!$B$46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Data!$C$46:$O$46</c:f>
              <c:numCache>
                <c:formatCode>#,##0.00_);[Red]\(#,##0.00\)</c:formatCode>
                <c:ptCount val="13"/>
                <c:pt idx="0">
                  <c:v>298550.96999999997</c:v>
                </c:pt>
                <c:pt idx="1">
                  <c:v>281995.93999999994</c:v>
                </c:pt>
                <c:pt idx="2">
                  <c:v>308831.14999999991</c:v>
                </c:pt>
                <c:pt idx="3">
                  <c:v>332043.35999999993</c:v>
                </c:pt>
                <c:pt idx="4">
                  <c:v>204507.03999999995</c:v>
                </c:pt>
                <c:pt idx="5">
                  <c:v>145184</c:v>
                </c:pt>
                <c:pt idx="6">
                  <c:v>160854.32</c:v>
                </c:pt>
                <c:pt idx="7">
                  <c:v>141994.68000000002</c:v>
                </c:pt>
                <c:pt idx="8">
                  <c:v>143316.55000000005</c:v>
                </c:pt>
                <c:pt idx="9">
                  <c:v>164643.08000000005</c:v>
                </c:pt>
                <c:pt idx="10">
                  <c:v>175662.49000000005</c:v>
                </c:pt>
                <c:pt idx="11">
                  <c:v>247013.7600000001</c:v>
                </c:pt>
                <c:pt idx="12">
                  <c:v>231781.93000000014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38-4FC6-9FC1-EE371270C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RAVENHURST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Data!$B$12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Data!$C$12:$O$12</c:f>
              <c:numCache>
                <c:formatCode>#,##0.00_);[Red]\(#,##0.00\)</c:formatCode>
                <c:ptCount val="13"/>
                <c:pt idx="0">
                  <c:v>225347.17</c:v>
                </c:pt>
                <c:pt idx="1">
                  <c:v>259231.57</c:v>
                </c:pt>
                <c:pt idx="2">
                  <c:v>259900.61000000004</c:v>
                </c:pt>
                <c:pt idx="3">
                  <c:v>307959.76</c:v>
                </c:pt>
                <c:pt idx="4">
                  <c:v>199629.83999999997</c:v>
                </c:pt>
                <c:pt idx="5">
                  <c:v>74086.359999999971</c:v>
                </c:pt>
                <c:pt idx="6">
                  <c:v>102436.12999999995</c:v>
                </c:pt>
                <c:pt idx="7">
                  <c:v>80723.219999999972</c:v>
                </c:pt>
                <c:pt idx="8">
                  <c:v>93041.909999999974</c:v>
                </c:pt>
                <c:pt idx="9">
                  <c:v>75479.109999999986</c:v>
                </c:pt>
                <c:pt idx="10">
                  <c:v>61647.76999999999</c:v>
                </c:pt>
                <c:pt idx="11">
                  <c:v>137093.11999999997</c:v>
                </c:pt>
                <c:pt idx="12">
                  <c:v>107185.49999999997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A-4357-9BC9-A714B3CCBF70}"/>
            </c:ext>
          </c:extLst>
        </c:ser>
        <c:ser>
          <c:idx val="1"/>
          <c:order val="1"/>
          <c:tx>
            <c:strRef>
              <c:f>Data!$B$29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Data!$C$29:$O$29</c:f>
              <c:numCache>
                <c:formatCode>#,##0.00_);[Red]\(#,##0.00\)</c:formatCode>
                <c:ptCount val="13"/>
                <c:pt idx="0">
                  <c:v>225347.17</c:v>
                </c:pt>
                <c:pt idx="1">
                  <c:v>214026.86</c:v>
                </c:pt>
                <c:pt idx="2">
                  <c:v>197613.44</c:v>
                </c:pt>
                <c:pt idx="3">
                  <c:v>199849.92</c:v>
                </c:pt>
                <c:pt idx="4">
                  <c:v>82770.09</c:v>
                </c:pt>
                <c:pt idx="5">
                  <c:v>69868.990000000005</c:v>
                </c:pt>
                <c:pt idx="6">
                  <c:v>80149.3</c:v>
                </c:pt>
                <c:pt idx="7">
                  <c:v>23936.42</c:v>
                </c:pt>
                <c:pt idx="8">
                  <c:v>50245.65</c:v>
                </c:pt>
                <c:pt idx="9">
                  <c:v>-41086.160000000003</c:v>
                </c:pt>
                <c:pt idx="10">
                  <c:v>-59095.76</c:v>
                </c:pt>
                <c:pt idx="11">
                  <c:v>112144.34</c:v>
                </c:pt>
                <c:pt idx="12">
                  <c:v>62335.39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A-4357-9BC9-A714B3CCBF70}"/>
            </c:ext>
          </c:extLst>
        </c:ser>
        <c:ser>
          <c:idx val="2"/>
          <c:order val="2"/>
          <c:tx>
            <c:strRef>
              <c:f>Data!$B$47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Data!$C$47:$O$47</c:f>
              <c:numCache>
                <c:formatCode>#,##0.00_);[Red]\(#,##0.00\)</c:formatCode>
                <c:ptCount val="13"/>
                <c:pt idx="0">
                  <c:v>225347.17</c:v>
                </c:pt>
                <c:pt idx="1">
                  <c:v>259231.57</c:v>
                </c:pt>
                <c:pt idx="2">
                  <c:v>259900.61000000004</c:v>
                </c:pt>
                <c:pt idx="3">
                  <c:v>307959.76</c:v>
                </c:pt>
                <c:pt idx="4">
                  <c:v>199629.83999999997</c:v>
                </c:pt>
                <c:pt idx="5">
                  <c:v>74086.359999999971</c:v>
                </c:pt>
                <c:pt idx="6">
                  <c:v>102436.12999999995</c:v>
                </c:pt>
                <c:pt idx="7">
                  <c:v>65836.179999999993</c:v>
                </c:pt>
                <c:pt idx="8">
                  <c:v>84107.099999999977</c:v>
                </c:pt>
                <c:pt idx="9">
                  <c:v>77359.59</c:v>
                </c:pt>
                <c:pt idx="10">
                  <c:v>72605.439999999973</c:v>
                </c:pt>
                <c:pt idx="11">
                  <c:v>158072.78999999995</c:v>
                </c:pt>
                <c:pt idx="12">
                  <c:v>136929.08999999994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A-4357-9BC9-A714B3CCB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owls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Data!$B$13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Data!$C$13:$O$13</c:f>
              <c:numCache>
                <c:formatCode>#,##0.00_);[Red]\(#,##0.00\)</c:formatCode>
                <c:ptCount val="13"/>
                <c:pt idx="0">
                  <c:v>495046.09</c:v>
                </c:pt>
                <c:pt idx="1">
                  <c:v>336807.33000000007</c:v>
                </c:pt>
                <c:pt idx="2">
                  <c:v>448797.43000000005</c:v>
                </c:pt>
                <c:pt idx="3">
                  <c:v>426388.30000000005</c:v>
                </c:pt>
                <c:pt idx="4">
                  <c:v>423343.21000000008</c:v>
                </c:pt>
                <c:pt idx="5">
                  <c:v>368424.85000000009</c:v>
                </c:pt>
                <c:pt idx="6">
                  <c:v>345719.70000000007</c:v>
                </c:pt>
                <c:pt idx="7">
                  <c:v>324071.26000000007</c:v>
                </c:pt>
                <c:pt idx="8">
                  <c:v>298593.99000000011</c:v>
                </c:pt>
                <c:pt idx="9">
                  <c:v>363843.96000000008</c:v>
                </c:pt>
                <c:pt idx="10">
                  <c:v>306188.09000000008</c:v>
                </c:pt>
                <c:pt idx="11">
                  <c:v>320651.2900000001</c:v>
                </c:pt>
                <c:pt idx="12">
                  <c:v>337495.08000000007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5B-4EAA-96EA-0052E04A999D}"/>
            </c:ext>
          </c:extLst>
        </c:ser>
        <c:ser>
          <c:idx val="1"/>
          <c:order val="1"/>
          <c:tx>
            <c:strRef>
              <c:f>Data!$B$30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Data!$C$30:$O$30</c:f>
              <c:numCache>
                <c:formatCode>#,##0.00_);[Red]\(#,##0.00\)</c:formatCode>
                <c:ptCount val="13"/>
                <c:pt idx="0">
                  <c:v>495046.09</c:v>
                </c:pt>
                <c:pt idx="1">
                  <c:v>333754.89</c:v>
                </c:pt>
                <c:pt idx="2">
                  <c:v>463249.29000000004</c:v>
                </c:pt>
                <c:pt idx="3">
                  <c:v>419530.8</c:v>
                </c:pt>
                <c:pt idx="4">
                  <c:v>427861.71</c:v>
                </c:pt>
                <c:pt idx="5">
                  <c:v>373992.26</c:v>
                </c:pt>
                <c:pt idx="6">
                  <c:v>404826.03</c:v>
                </c:pt>
                <c:pt idx="7">
                  <c:v>288438.96999999997</c:v>
                </c:pt>
                <c:pt idx="8">
                  <c:v>268092.49</c:v>
                </c:pt>
                <c:pt idx="9">
                  <c:v>300724.45</c:v>
                </c:pt>
                <c:pt idx="10">
                  <c:v>298473.57</c:v>
                </c:pt>
                <c:pt idx="11">
                  <c:v>322634.84999999998</c:v>
                </c:pt>
                <c:pt idx="12">
                  <c:v>374034.64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5B-4EAA-96EA-0052E04A999D}"/>
            </c:ext>
          </c:extLst>
        </c:ser>
        <c:ser>
          <c:idx val="2"/>
          <c:order val="2"/>
          <c:tx>
            <c:strRef>
              <c:f>Data!$B$48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Data!$C$48:$O$48</c:f>
              <c:numCache>
                <c:formatCode>#,##0.00_);[Red]\(#,##0.00\)</c:formatCode>
                <c:ptCount val="13"/>
                <c:pt idx="0">
                  <c:v>495046.09</c:v>
                </c:pt>
                <c:pt idx="1">
                  <c:v>336807.33000000007</c:v>
                </c:pt>
                <c:pt idx="2">
                  <c:v>448797.43000000005</c:v>
                </c:pt>
                <c:pt idx="3">
                  <c:v>426388.30000000005</c:v>
                </c:pt>
                <c:pt idx="4">
                  <c:v>423343.21000000008</c:v>
                </c:pt>
                <c:pt idx="5">
                  <c:v>368424.85000000009</c:v>
                </c:pt>
                <c:pt idx="6">
                  <c:v>345719.70000000007</c:v>
                </c:pt>
                <c:pt idx="7">
                  <c:v>328808.28999999998</c:v>
                </c:pt>
                <c:pt idx="8">
                  <c:v>312137.25</c:v>
                </c:pt>
                <c:pt idx="9">
                  <c:v>321938.21999999997</c:v>
                </c:pt>
                <c:pt idx="10">
                  <c:v>309613.70999999996</c:v>
                </c:pt>
                <c:pt idx="11">
                  <c:v>323776.31999999995</c:v>
                </c:pt>
                <c:pt idx="12">
                  <c:v>294956.22999999992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5B-4EAA-96EA-0052E04A9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Cashflow - CONSOLIDATED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Data!$B$14</c:f>
              <c:strCache>
                <c:ptCount val="1"/>
                <c:pt idx="0">
                  <c:v>Forecast £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Data!$C$14:$O$14</c:f>
              <c:numCache>
                <c:formatCode>#,##0.00_);[Red]\(#,##0.00\)</c:formatCode>
                <c:ptCount val="13"/>
                <c:pt idx="0">
                  <c:v>2207142.71</c:v>
                </c:pt>
                <c:pt idx="1">
                  <c:v>1939932.8900000001</c:v>
                </c:pt>
                <c:pt idx="2">
                  <c:v>2108870.71</c:v>
                </c:pt>
                <c:pt idx="3">
                  <c:v>2182946.0199999996</c:v>
                </c:pt>
                <c:pt idx="4">
                  <c:v>1840649.3699999996</c:v>
                </c:pt>
                <c:pt idx="5">
                  <c:v>1596508.5700000003</c:v>
                </c:pt>
                <c:pt idx="6">
                  <c:v>1563629.3800000004</c:v>
                </c:pt>
                <c:pt idx="7">
                  <c:v>1352712.28</c:v>
                </c:pt>
                <c:pt idx="8">
                  <c:v>1367737.1400000001</c:v>
                </c:pt>
                <c:pt idx="9">
                  <c:v>1469469.6800000002</c:v>
                </c:pt>
                <c:pt idx="10">
                  <c:v>1298572.8400000003</c:v>
                </c:pt>
                <c:pt idx="11">
                  <c:v>1893345.8099999998</c:v>
                </c:pt>
                <c:pt idx="12">
                  <c:v>1838848.36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71-4F23-A385-494211D68D2B}"/>
            </c:ext>
          </c:extLst>
        </c:ser>
        <c:ser>
          <c:idx val="1"/>
          <c:order val="1"/>
          <c:tx>
            <c:strRef>
              <c:f>Data!$B$32</c:f>
              <c:strCache>
                <c:ptCount val="1"/>
                <c:pt idx="0">
                  <c:v>Actual (£)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Data!$C$32:$O$32</c:f>
              <c:numCache>
                <c:formatCode>#,##0.00_);[Red]\(#,##0.00\)</c:formatCode>
                <c:ptCount val="13"/>
                <c:pt idx="0">
                  <c:v>2207142.71</c:v>
                </c:pt>
                <c:pt idx="1">
                  <c:v>1976696.38</c:v>
                </c:pt>
                <c:pt idx="2">
                  <c:v>2523087.0099999998</c:v>
                </c:pt>
                <c:pt idx="3">
                  <c:v>2502509.0599999996</c:v>
                </c:pt>
                <c:pt idx="4">
                  <c:v>1972978.1</c:v>
                </c:pt>
                <c:pt idx="5">
                  <c:v>2040449.55</c:v>
                </c:pt>
                <c:pt idx="6">
                  <c:v>1998747.2400000002</c:v>
                </c:pt>
                <c:pt idx="7">
                  <c:v>1495218.3499999999</c:v>
                </c:pt>
                <c:pt idx="8">
                  <c:v>1592947.2899999998</c:v>
                </c:pt>
                <c:pt idx="9">
                  <c:v>1708707.8400000001</c:v>
                </c:pt>
                <c:pt idx="10">
                  <c:v>1639969.7790000001</c:v>
                </c:pt>
                <c:pt idx="11">
                  <c:v>2094138.63</c:v>
                </c:pt>
                <c:pt idx="12">
                  <c:v>1777084.2499999995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71-4F23-A385-494211D68D2B}"/>
            </c:ext>
          </c:extLst>
        </c:ser>
        <c:ser>
          <c:idx val="2"/>
          <c:order val="2"/>
          <c:tx>
            <c:strRef>
              <c:f>Data!$B$49</c:f>
              <c:strCache>
                <c:ptCount val="1"/>
                <c:pt idx="0">
                  <c:v>Revised Forecast (£)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Data!$C$3:$O$3</c:f>
              <c:numCache>
                <c:formatCode>m/d/yyyy</c:formatCode>
                <c:ptCount val="13"/>
                <c:pt idx="0">
                  <c:v>45900</c:v>
                </c:pt>
                <c:pt idx="1">
                  <c:v>45930</c:v>
                </c:pt>
                <c:pt idx="2">
                  <c:v>45961</c:v>
                </c:pt>
                <c:pt idx="3">
                  <c:v>45991</c:v>
                </c:pt>
                <c:pt idx="4">
                  <c:v>46022</c:v>
                </c:pt>
                <c:pt idx="5">
                  <c:v>46053</c:v>
                </c:pt>
                <c:pt idx="6">
                  <c:v>46081</c:v>
                </c:pt>
                <c:pt idx="7">
                  <c:v>46112</c:v>
                </c:pt>
                <c:pt idx="8">
                  <c:v>46142</c:v>
                </c:pt>
                <c:pt idx="9">
                  <c:v>46173</c:v>
                </c:pt>
                <c:pt idx="10">
                  <c:v>46203</c:v>
                </c:pt>
                <c:pt idx="11">
                  <c:v>46234</c:v>
                </c:pt>
                <c:pt idx="12">
                  <c:v>46265</c:v>
                </c:pt>
              </c:numCache>
            </c:numRef>
          </c:cat>
          <c:val>
            <c:numRef>
              <c:f>Data!$C$49:$O$49</c:f>
              <c:numCache>
                <c:formatCode>#,##0.00_);[Red]\(#,##0.00\)</c:formatCode>
                <c:ptCount val="13"/>
                <c:pt idx="0">
                  <c:v>2207142.71</c:v>
                </c:pt>
                <c:pt idx="1">
                  <c:v>1939932.8900000001</c:v>
                </c:pt>
                <c:pt idx="2">
                  <c:v>2108870.71</c:v>
                </c:pt>
                <c:pt idx="3">
                  <c:v>2182946.0199999996</c:v>
                </c:pt>
                <c:pt idx="4">
                  <c:v>1840649.3699999996</c:v>
                </c:pt>
                <c:pt idx="5">
                  <c:v>1596508.5700000003</c:v>
                </c:pt>
                <c:pt idx="6">
                  <c:v>1563629.3800000004</c:v>
                </c:pt>
                <c:pt idx="7">
                  <c:v>1672674.96</c:v>
                </c:pt>
                <c:pt idx="8">
                  <c:v>1721040.67</c:v>
                </c:pt>
                <c:pt idx="9">
                  <c:v>1793642.04</c:v>
                </c:pt>
                <c:pt idx="10">
                  <c:v>1703450.1399999997</c:v>
                </c:pt>
                <c:pt idx="11">
                  <c:v>2314273.66</c:v>
                </c:pt>
                <c:pt idx="12">
                  <c:v>2221359.5699999998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71-4F23-A385-494211D68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542224"/>
        <c:axId val="1895530576"/>
      </c:lineChart>
      <c:dateAx>
        <c:axId val="1895542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30576"/>
        <c:crosses val="autoZero"/>
        <c:auto val="1"/>
        <c:lblOffset val="100"/>
        <c:baseTimeUnit val="days"/>
      </c:dateAx>
      <c:valAx>
        <c:axId val="1895530576"/>
        <c:scaling>
          <c:orientation val="minMax"/>
        </c:scaling>
        <c:delete val="0"/>
        <c:axPos val="l"/>
        <c:numFmt formatCode="#,##0.00_);[Red]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paperSize="8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5" Type="http://schemas.openxmlformats.org/officeDocument/2006/relationships/chart" Target="../charts/chart17.xml"/><Relationship Id="rId10" Type="http://schemas.openxmlformats.org/officeDocument/2006/relationships/chart" Target="../charts/chart22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185736</xdr:rowOff>
    </xdr:from>
    <xdr:to>
      <xdr:col>8</xdr:col>
      <xdr:colOff>371475</xdr:colOff>
      <xdr:row>66</xdr:row>
      <xdr:rowOff>109536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D61FE2B8-D879-4FD3-B4B4-D428A0228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68</xdr:row>
      <xdr:rowOff>180975</xdr:rowOff>
    </xdr:from>
    <xdr:to>
      <xdr:col>8</xdr:col>
      <xdr:colOff>371476</xdr:colOff>
      <xdr:row>88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5EE2F7-E317-438D-8C6B-D29004661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90</xdr:row>
      <xdr:rowOff>180975</xdr:rowOff>
    </xdr:from>
    <xdr:to>
      <xdr:col>8</xdr:col>
      <xdr:colOff>371476</xdr:colOff>
      <xdr:row>110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F6BEB32-1FE3-4A4B-A2E3-E5FBDF07BD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113</xdr:row>
      <xdr:rowOff>1</xdr:rowOff>
    </xdr:from>
    <xdr:to>
      <xdr:col>8</xdr:col>
      <xdr:colOff>371476</xdr:colOff>
      <xdr:row>132</xdr:row>
      <xdr:rowOff>114301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EE1D037-932D-47FD-AD8E-C7F67BB930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</xdr:colOff>
      <xdr:row>135</xdr:row>
      <xdr:rowOff>4762</xdr:rowOff>
    </xdr:from>
    <xdr:to>
      <xdr:col>8</xdr:col>
      <xdr:colOff>371476</xdr:colOff>
      <xdr:row>154</xdr:row>
      <xdr:rowOff>119062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AC8BB553-0B89-43D9-B5E5-68CC970AD1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</xdr:colOff>
      <xdr:row>157</xdr:row>
      <xdr:rowOff>1</xdr:rowOff>
    </xdr:from>
    <xdr:to>
      <xdr:col>8</xdr:col>
      <xdr:colOff>371477</xdr:colOff>
      <xdr:row>176</xdr:row>
      <xdr:rowOff>114301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C5F2490-39CF-43E1-A7E7-13140AB8C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</xdr:colOff>
      <xdr:row>179</xdr:row>
      <xdr:rowOff>1</xdr:rowOff>
    </xdr:from>
    <xdr:to>
      <xdr:col>8</xdr:col>
      <xdr:colOff>371477</xdr:colOff>
      <xdr:row>198</xdr:row>
      <xdr:rowOff>114301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64501FB-AB15-4711-B3F6-CD66500D24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</xdr:colOff>
      <xdr:row>201</xdr:row>
      <xdr:rowOff>2</xdr:rowOff>
    </xdr:from>
    <xdr:to>
      <xdr:col>8</xdr:col>
      <xdr:colOff>371477</xdr:colOff>
      <xdr:row>220</xdr:row>
      <xdr:rowOff>114302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80DB22D-B454-40D8-8C2B-9FEB8E91A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</xdr:colOff>
      <xdr:row>223</xdr:row>
      <xdr:rowOff>1</xdr:rowOff>
    </xdr:from>
    <xdr:to>
      <xdr:col>8</xdr:col>
      <xdr:colOff>371476</xdr:colOff>
      <xdr:row>242</xdr:row>
      <xdr:rowOff>114301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30783D6-DB1B-424F-9A8E-62AC3D28F8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</xdr:colOff>
      <xdr:row>25</xdr:row>
      <xdr:rowOff>2</xdr:rowOff>
    </xdr:from>
    <xdr:to>
      <xdr:col>8</xdr:col>
      <xdr:colOff>371476</xdr:colOff>
      <xdr:row>44</xdr:row>
      <xdr:rowOff>114302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1497E68D-6CF2-4A67-B7A1-CA650865E9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</xdr:colOff>
      <xdr:row>3</xdr:row>
      <xdr:rowOff>1</xdr:rowOff>
    </xdr:from>
    <xdr:to>
      <xdr:col>8</xdr:col>
      <xdr:colOff>371476</xdr:colOff>
      <xdr:row>22</xdr:row>
      <xdr:rowOff>114301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FE3D2E0-A233-4F1D-BCDA-508F68BF3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8</xdr:col>
      <xdr:colOff>371475</xdr:colOff>
      <xdr:row>264</xdr:row>
      <xdr:rowOff>114300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BF382C27-5C01-4C67-A782-0A1096E7FE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185736</xdr:rowOff>
    </xdr:from>
    <xdr:to>
      <xdr:col>8</xdr:col>
      <xdr:colOff>371475</xdr:colOff>
      <xdr:row>66</xdr:row>
      <xdr:rowOff>109536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A1A3F6C0-EC0B-449F-BFA1-0753EF02EA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68</xdr:row>
      <xdr:rowOff>180975</xdr:rowOff>
    </xdr:from>
    <xdr:to>
      <xdr:col>8</xdr:col>
      <xdr:colOff>371476</xdr:colOff>
      <xdr:row>88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7E30B7-0D1D-44B3-A482-482BDAA57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90</xdr:row>
      <xdr:rowOff>180975</xdr:rowOff>
    </xdr:from>
    <xdr:to>
      <xdr:col>8</xdr:col>
      <xdr:colOff>371476</xdr:colOff>
      <xdr:row>110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1041244-7B01-461F-AB4F-ED86A4678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113</xdr:row>
      <xdr:rowOff>1</xdr:rowOff>
    </xdr:from>
    <xdr:to>
      <xdr:col>8</xdr:col>
      <xdr:colOff>371476</xdr:colOff>
      <xdr:row>132</xdr:row>
      <xdr:rowOff>114301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1ED4FB7-2DE0-4795-8033-1E1B98FE5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</xdr:colOff>
      <xdr:row>135</xdr:row>
      <xdr:rowOff>4762</xdr:rowOff>
    </xdr:from>
    <xdr:to>
      <xdr:col>8</xdr:col>
      <xdr:colOff>371476</xdr:colOff>
      <xdr:row>154</xdr:row>
      <xdr:rowOff>119062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78C845E4-B407-48D9-9E5B-8316096B97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</xdr:colOff>
      <xdr:row>157</xdr:row>
      <xdr:rowOff>1</xdr:rowOff>
    </xdr:from>
    <xdr:to>
      <xdr:col>8</xdr:col>
      <xdr:colOff>371477</xdr:colOff>
      <xdr:row>176</xdr:row>
      <xdr:rowOff>114301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BDCF139-4500-471D-A3A9-9AE070E5A4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</xdr:colOff>
      <xdr:row>179</xdr:row>
      <xdr:rowOff>1</xdr:rowOff>
    </xdr:from>
    <xdr:to>
      <xdr:col>8</xdr:col>
      <xdr:colOff>371477</xdr:colOff>
      <xdr:row>198</xdr:row>
      <xdr:rowOff>114301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DD20788-D130-466F-AE95-002F30E7E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</xdr:colOff>
      <xdr:row>201</xdr:row>
      <xdr:rowOff>2</xdr:rowOff>
    </xdr:from>
    <xdr:to>
      <xdr:col>8</xdr:col>
      <xdr:colOff>371477</xdr:colOff>
      <xdr:row>220</xdr:row>
      <xdr:rowOff>114302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13B3367-448F-4C50-82D6-B5A9ACD025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</xdr:colOff>
      <xdr:row>223</xdr:row>
      <xdr:rowOff>1</xdr:rowOff>
    </xdr:from>
    <xdr:to>
      <xdr:col>8</xdr:col>
      <xdr:colOff>371476</xdr:colOff>
      <xdr:row>242</xdr:row>
      <xdr:rowOff>114301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48E58D6-F62C-41EC-A902-7117825FE6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</xdr:colOff>
      <xdr:row>25</xdr:row>
      <xdr:rowOff>2</xdr:rowOff>
    </xdr:from>
    <xdr:to>
      <xdr:col>8</xdr:col>
      <xdr:colOff>371476</xdr:colOff>
      <xdr:row>44</xdr:row>
      <xdr:rowOff>114302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90C5B9F-05F2-4ADD-89BE-C278015BAF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</xdr:colOff>
      <xdr:row>3</xdr:row>
      <xdr:rowOff>1</xdr:rowOff>
    </xdr:from>
    <xdr:to>
      <xdr:col>8</xdr:col>
      <xdr:colOff>371476</xdr:colOff>
      <xdr:row>22</xdr:row>
      <xdr:rowOff>114301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78EFF9E3-8C41-4CC9-9004-D93C82393E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0184-BBE3-4CE4-A3A8-7A8E636BFF01}">
  <sheetPr codeName="Sheet1"/>
  <dimension ref="A1:AC51"/>
  <sheetViews>
    <sheetView zoomScaleNormal="100" workbookViewId="0">
      <selection activeCell="O32" sqref="O32"/>
    </sheetView>
  </sheetViews>
  <sheetFormatPr defaultRowHeight="15" x14ac:dyDescent="0.25"/>
  <cols>
    <col min="1" max="1" width="13.85546875" bestFit="1" customWidth="1"/>
    <col min="2" max="2" width="19" bestFit="1" customWidth="1"/>
    <col min="3" max="10" width="14.28515625" bestFit="1" customWidth="1"/>
    <col min="11" max="13" width="14.28515625" customWidth="1"/>
    <col min="14" max="15" width="14.28515625" bestFit="1" customWidth="1"/>
    <col min="17" max="17" width="26.28515625" customWidth="1"/>
    <col min="18" max="18" width="12.42578125" bestFit="1" customWidth="1"/>
    <col min="19" max="19" width="12.28515625" bestFit="1" customWidth="1"/>
    <col min="20" max="20" width="12.42578125" bestFit="1" customWidth="1"/>
    <col min="21" max="22" width="12.28515625" bestFit="1" customWidth="1"/>
    <col min="23" max="24" width="12.42578125" bestFit="1" customWidth="1"/>
    <col min="25" max="25" width="12.28515625" bestFit="1" customWidth="1"/>
    <col min="26" max="26" width="12.42578125" bestFit="1" customWidth="1"/>
    <col min="27" max="27" width="12.28515625" bestFit="1" customWidth="1"/>
  </cols>
  <sheetData>
    <row r="1" spans="1:29" ht="18.75" x14ac:dyDescent="0.3">
      <c r="A1" s="2" t="s">
        <v>0</v>
      </c>
      <c r="B1" s="2"/>
      <c r="C1" s="12" t="s">
        <v>35</v>
      </c>
    </row>
    <row r="2" spans="1:29" x14ac:dyDescent="0.25">
      <c r="C2" s="13" t="s">
        <v>36</v>
      </c>
      <c r="Q2" t="s">
        <v>42</v>
      </c>
      <c r="R2" t="s">
        <v>45</v>
      </c>
      <c r="S2" t="s">
        <v>46</v>
      </c>
    </row>
    <row r="3" spans="1:29" x14ac:dyDescent="0.25">
      <c r="C3" s="16">
        <v>45900</v>
      </c>
      <c r="D3" s="3">
        <f>C3+30</f>
        <v>45930</v>
      </c>
      <c r="E3" s="3">
        <f>D3+31</f>
        <v>45961</v>
      </c>
      <c r="F3" s="3">
        <f>E3+30</f>
        <v>45991</v>
      </c>
      <c r="G3" s="3">
        <f>F3+31</f>
        <v>46022</v>
      </c>
      <c r="H3" s="3">
        <f>G3+31</f>
        <v>46053</v>
      </c>
      <c r="I3" s="3">
        <f>H3+28</f>
        <v>46081</v>
      </c>
      <c r="J3" s="3">
        <f>I3+31</f>
        <v>46112</v>
      </c>
      <c r="K3" s="3">
        <f>J3+30</f>
        <v>46142</v>
      </c>
      <c r="L3" s="3">
        <f>K3+31</f>
        <v>46173</v>
      </c>
      <c r="M3" s="3">
        <f>L3+30</f>
        <v>46203</v>
      </c>
      <c r="N3" s="3">
        <f>M3+31</f>
        <v>46234</v>
      </c>
      <c r="O3" s="3">
        <f>N3+31</f>
        <v>46265</v>
      </c>
      <c r="S3" t="s">
        <v>47</v>
      </c>
      <c r="T3" t="s">
        <v>48</v>
      </c>
      <c r="U3" t="s">
        <v>49</v>
      </c>
      <c r="V3" t="s">
        <v>50</v>
      </c>
      <c r="W3" s="17" t="s">
        <v>51</v>
      </c>
      <c r="X3" s="17" t="s">
        <v>52</v>
      </c>
    </row>
    <row r="4" spans="1:29" x14ac:dyDescent="0.25">
      <c r="A4" s="1" t="s">
        <v>2</v>
      </c>
      <c r="B4" s="1" t="s">
        <v>17</v>
      </c>
      <c r="C4" s="6">
        <v>145252.26999999999</v>
      </c>
      <c r="D4" s="23">
        <f>C4+173099-186320.98+4093-10647.66</f>
        <v>125475.63</v>
      </c>
      <c r="E4" s="23">
        <f>D4+169273.7-187045.15+13708</f>
        <v>121412.18000000002</v>
      </c>
      <c r="F4" s="23">
        <f>E4+180049.59-172367.06</f>
        <v>129094.71000000002</v>
      </c>
      <c r="G4" s="23">
        <f>F4+150336.2-165610.82</f>
        <v>113820.09000000003</v>
      </c>
      <c r="H4" s="23">
        <f>G4+172845.95-173611.86</f>
        <v>113054.18000000005</v>
      </c>
      <c r="I4" s="23">
        <f>H4+150636.2-164628.42</f>
        <v>99061.96000000005</v>
      </c>
      <c r="J4" s="23">
        <f>I4+159908.45-177769.79</f>
        <v>81200.620000000054</v>
      </c>
      <c r="K4" s="23">
        <f>J4+166892.2-168830.31</f>
        <v>79262.510000000068</v>
      </c>
      <c r="L4" s="23">
        <f>K4+182899.06-171736.23</f>
        <v>90425.340000000055</v>
      </c>
      <c r="M4" s="23">
        <f>L4+152717.7-164768.12</f>
        <v>78374.920000000071</v>
      </c>
      <c r="N4" s="23">
        <f>M4+231772.7-164694.33</f>
        <v>145453.29000000012</v>
      </c>
      <c r="O4" s="23">
        <f>N4+147712.2-153233.91</f>
        <v>139931.5800000001</v>
      </c>
      <c r="Q4" s="23">
        <v>13708</v>
      </c>
      <c r="R4" s="23">
        <v>10647.66</v>
      </c>
      <c r="S4" s="24">
        <v>4093</v>
      </c>
      <c r="T4" s="17"/>
      <c r="U4" s="17"/>
      <c r="V4" s="17"/>
      <c r="Y4" s="17"/>
      <c r="Z4" s="17"/>
      <c r="AA4" s="17"/>
      <c r="AB4" s="17"/>
      <c r="AC4" s="17"/>
    </row>
    <row r="5" spans="1:29" x14ac:dyDescent="0.25">
      <c r="A5" s="1" t="s">
        <v>3</v>
      </c>
      <c r="B5" s="1" t="s">
        <v>17</v>
      </c>
      <c r="C5" s="6">
        <v>103973.21</v>
      </c>
      <c r="D5" s="23">
        <f>C5+111825.98-123722.14+9891.7-10923.7</f>
        <v>91045.05</v>
      </c>
      <c r="E5" s="23">
        <f>D5+107192.52-110466.93+8484</f>
        <v>96254.640000000014</v>
      </c>
      <c r="F5" s="23">
        <f>E5+119180.14-108571.77</f>
        <v>106863.01000000002</v>
      </c>
      <c r="G5" s="23">
        <f>F5+96752.13-106996.6</f>
        <v>96618.540000000008</v>
      </c>
      <c r="H5" s="23">
        <f>G5+110447.74-108556.72</f>
        <v>98509.560000000027</v>
      </c>
      <c r="I5" s="23">
        <f>H5+96752.13-105515.63</f>
        <v>89746.060000000027</v>
      </c>
      <c r="J5" s="23">
        <f>I5+103649.09-121099.88</f>
        <v>72295.270000000019</v>
      </c>
      <c r="K5" s="23">
        <f>J5+105855.64-109655.25</f>
        <v>68495.660000000033</v>
      </c>
      <c r="L5" s="23">
        <f>K5+119365.9-104092.03</f>
        <v>83769.530000000028</v>
      </c>
      <c r="M5" s="23">
        <f>L5+108962.97-114059.84</f>
        <v>78672.660000000033</v>
      </c>
      <c r="N5" s="23">
        <f>M5+145103.54-103582.68</f>
        <v>120193.52000000005</v>
      </c>
      <c r="O5" s="23">
        <f>N5+89404.77-99529.7</f>
        <v>110068.59000000004</v>
      </c>
      <c r="Q5" s="23">
        <v>8484</v>
      </c>
      <c r="R5" s="23">
        <v>10923.7</v>
      </c>
      <c r="S5" s="24">
        <v>9891.7000000000007</v>
      </c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29" x14ac:dyDescent="0.25">
      <c r="A6" s="1" t="s">
        <v>4</v>
      </c>
      <c r="B6" s="1" t="s">
        <v>17</v>
      </c>
      <c r="C6" s="6">
        <v>216687.21</v>
      </c>
      <c r="D6" s="23">
        <f>C6+285760.89-300094.7-11811</f>
        <v>190542.39999999997</v>
      </c>
      <c r="E6" s="23">
        <f>D6+318445.38-361289.76+21947</f>
        <v>169645.01999999996</v>
      </c>
      <c r="F6" s="23">
        <f>E6+288428.4-283814.4</f>
        <v>174259.01999999996</v>
      </c>
      <c r="G6" s="23">
        <f>F6+251878.3-274773.68</f>
        <v>151363.63999999996</v>
      </c>
      <c r="H6" s="23">
        <f>G6+292151.71-305504.23</f>
        <v>138011.12</v>
      </c>
      <c r="I6" s="23">
        <f>H6+246577.88-270922.82</f>
        <v>113666.18</v>
      </c>
      <c r="J6" s="23">
        <f>I6+264179.22-295719.33</f>
        <v>82126.069999999949</v>
      </c>
      <c r="K6" s="23">
        <f>J6+304566.36-278176.62</f>
        <v>108515.80999999994</v>
      </c>
      <c r="L6" s="23">
        <f>K6+274868.91-266421.15</f>
        <v>116963.56999999989</v>
      </c>
      <c r="M6" s="23">
        <f>L6+260784.58-268679.08</f>
        <v>109069.06999999989</v>
      </c>
      <c r="N6" s="23">
        <f>M6+371292.17-272008.13</f>
        <v>208353.10999999987</v>
      </c>
      <c r="O6" s="23">
        <f>N6+231131.07-244048.8</f>
        <v>195435.37999999989</v>
      </c>
      <c r="Q6" s="25">
        <v>21947</v>
      </c>
      <c r="R6" s="25">
        <v>11811</v>
      </c>
      <c r="S6" s="24">
        <v>0</v>
      </c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29" x14ac:dyDescent="0.25">
      <c r="A7" s="1" t="s">
        <v>5</v>
      </c>
      <c r="B7" s="1" t="s">
        <v>17</v>
      </c>
      <c r="C7" s="6">
        <v>123921.84</v>
      </c>
      <c r="D7" s="23">
        <f>C7+52329.69-67993.71-2793</f>
        <v>105464.81999999999</v>
      </c>
      <c r="E7" s="23">
        <f>D7+53594.4-56245.72</f>
        <v>102813.5</v>
      </c>
      <c r="F7" s="23">
        <f>E7+65180.92-63088.13</f>
        <v>104906.28999999998</v>
      </c>
      <c r="G7" s="23">
        <f>F7+55865.71-61631.55</f>
        <v>99140.449999999968</v>
      </c>
      <c r="H7" s="23">
        <f>G7+60330.99-62530.33</f>
        <v>96941.109999999971</v>
      </c>
      <c r="I7" s="23">
        <f>H7+67040.51-57043.2</f>
        <v>106938.41999999997</v>
      </c>
      <c r="J7" s="23">
        <f>I7+70785.69-69900.62</f>
        <v>107823.48999999999</v>
      </c>
      <c r="K7" s="23">
        <f>J7+53778.99-59687.91</f>
        <v>101914.56999999998</v>
      </c>
      <c r="L7" s="23">
        <f>K7+67792.93-58245.65</f>
        <v>111461.84999999998</v>
      </c>
      <c r="M7" s="23">
        <f>L7+62562.67-78338.74</f>
        <v>95685.779999999955</v>
      </c>
      <c r="N7" s="23">
        <f>M7+94252.48-56645.86</f>
        <v>133292.39999999997</v>
      </c>
      <c r="O7" s="23">
        <f>N7+44115.65-51400.97</f>
        <v>126007.07999999996</v>
      </c>
      <c r="Q7" s="25">
        <v>0</v>
      </c>
      <c r="R7" s="25">
        <v>2793</v>
      </c>
      <c r="S7" s="24">
        <v>0</v>
      </c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x14ac:dyDescent="0.25">
      <c r="A8" s="1" t="s">
        <v>6</v>
      </c>
      <c r="B8" s="1" t="s">
        <v>17</v>
      </c>
      <c r="C8" s="6">
        <v>213054.12</v>
      </c>
      <c r="D8" s="23">
        <f>C8+116033.46-122562.12+5926.9-10753.9</f>
        <v>201698.46000000002</v>
      </c>
      <c r="E8" s="23">
        <f>D8+116863.43-119170.42+9230</f>
        <v>208621.47000000003</v>
      </c>
      <c r="F8" s="23">
        <f>E8+122518.04-122501.12</f>
        <v>208638.39</v>
      </c>
      <c r="G8" s="23">
        <f>F8+101344.93-110942.84</f>
        <v>199040.48</v>
      </c>
      <c r="H8" s="23">
        <f>G8+123387.73-112896.74</f>
        <v>209531.47000000003</v>
      </c>
      <c r="I8" s="23">
        <f>H8+99440.93-109964.05</f>
        <v>199008.35000000003</v>
      </c>
      <c r="J8" s="23">
        <f>I8+106572.4-123824.46</f>
        <v>181756.28999999998</v>
      </c>
      <c r="K8" s="23">
        <f>J8+116658.28-109153.62</f>
        <v>189260.94999999995</v>
      </c>
      <c r="L8" s="23">
        <f>K8+123461.41-121714.76</f>
        <v>191007.59999999998</v>
      </c>
      <c r="M8" s="23">
        <f>L8+107458.31-111927.09</f>
        <v>186538.81999999998</v>
      </c>
      <c r="N8" s="23">
        <f>M8+149134.43-110761.26</f>
        <v>224911.99</v>
      </c>
      <c r="O8" s="23">
        <f>N8+93287.41-106733.99</f>
        <v>211465.41000000003</v>
      </c>
      <c r="P8" s="5"/>
      <c r="Q8" s="25">
        <v>9230</v>
      </c>
      <c r="R8" s="25">
        <v>10753.9</v>
      </c>
      <c r="S8" s="24">
        <v>5926.9</v>
      </c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1" t="s">
        <v>7</v>
      </c>
      <c r="B9" s="1" t="s">
        <v>17</v>
      </c>
      <c r="C9" s="6">
        <v>83575.48</v>
      </c>
      <c r="D9" s="23">
        <f>C9+239679.72-250049.65-257738.5+117496.5+120000</f>
        <v>52963.550000000017</v>
      </c>
      <c r="E9" s="23">
        <f>D9+209814.39-210778.94+16194+136570.26-120000</f>
        <v>84763.260000000068</v>
      </c>
      <c r="F9" s="23">
        <f>E9+220693.26-219960.88+76.14</f>
        <v>85571.780000000072</v>
      </c>
      <c r="G9" s="23">
        <f>F9+193562.96-214935.6</f>
        <v>64199.140000000043</v>
      </c>
      <c r="H9" s="23">
        <f>G9+223948.32-220428.73</f>
        <v>67718.730000000069</v>
      </c>
      <c r="I9" s="23">
        <f>H9+183673.14-207166.56+37122.83</f>
        <v>81348.140000000087</v>
      </c>
      <c r="J9" s="23">
        <f>I9+209114.18-236720.87</f>
        <v>53741.45000000007</v>
      </c>
      <c r="K9" s="23">
        <f>J9+211394.7-202977.51</f>
        <v>62158.640000000072</v>
      </c>
      <c r="L9" s="23">
        <f>K9+222926.92-219606.55</f>
        <v>65479.010000000068</v>
      </c>
      <c r="M9" s="23">
        <f>L9+189681.41-218658.56</f>
        <v>36501.860000000073</v>
      </c>
      <c r="N9" s="23">
        <f>M9+293545.07-205456.54</f>
        <v>124590.39000000004</v>
      </c>
      <c r="O9" s="23">
        <f>N9+167346.13-182029.27</f>
        <v>109907.25000000003</v>
      </c>
      <c r="Q9" s="25">
        <v>16194</v>
      </c>
      <c r="R9" s="25">
        <v>257738.5</v>
      </c>
      <c r="S9" s="24">
        <f>14380.5+103116</f>
        <v>117496.5</v>
      </c>
      <c r="T9" s="24">
        <f>223116-86545.74</f>
        <v>136570.26</v>
      </c>
      <c r="U9" s="24">
        <f>17036-16959.86</f>
        <v>76.139999999999418</v>
      </c>
      <c r="V9" s="24">
        <v>0</v>
      </c>
      <c r="W9" s="24">
        <v>0</v>
      </c>
      <c r="X9" s="24">
        <f>128894-45255.01-46516.16</f>
        <v>37122.829999999987</v>
      </c>
      <c r="Y9" s="17">
        <v>103116</v>
      </c>
      <c r="Z9" s="17">
        <v>103116</v>
      </c>
      <c r="AA9" s="17"/>
      <c r="AB9" s="17"/>
      <c r="AC9" s="17"/>
    </row>
    <row r="10" spans="1:29" x14ac:dyDescent="0.25">
      <c r="A10" s="1" t="s">
        <v>8</v>
      </c>
      <c r="B10" s="1" t="s">
        <v>17</v>
      </c>
      <c r="C10" s="6">
        <v>301734.34999999998</v>
      </c>
      <c r="D10" s="23">
        <f>C10+240371.11-236372.32-11025</f>
        <v>294708.13999999996</v>
      </c>
      <c r="E10" s="23">
        <f>D10+215475.42-217848.11+15496</f>
        <v>307831.44999999995</v>
      </c>
      <c r="F10" s="23">
        <f>E10+231452.18-232062.23</f>
        <v>307221.39999999991</v>
      </c>
      <c r="G10" s="23">
        <f>F10+195520.67-213755.13</f>
        <v>288986.93999999994</v>
      </c>
      <c r="H10" s="23">
        <f>G10+223134.93-227074.68</f>
        <v>285047.18999999994</v>
      </c>
      <c r="I10" s="23">
        <f>H10+195770.67-215967.74</f>
        <v>264850.12</v>
      </c>
      <c r="J10" s="23">
        <f>I10+217890.54-256358.05</f>
        <v>226382.61000000004</v>
      </c>
      <c r="K10" s="23">
        <f>J10+210369.08-212070.59</f>
        <v>224681.10000000006</v>
      </c>
      <c r="L10" s="23">
        <f>K10+215742.67-229748.57</f>
        <v>210675.20000000007</v>
      </c>
      <c r="M10" s="23">
        <f>L10+213019.01-221420.46</f>
        <v>202273.75000000009</v>
      </c>
      <c r="N10" s="23">
        <f>M10+290475.42-219182.14</f>
        <v>273567.03000000003</v>
      </c>
      <c r="O10" s="23">
        <f>N10+235095.31-196650.04</f>
        <v>312012.30000000005</v>
      </c>
      <c r="Q10" s="25">
        <v>15496</v>
      </c>
      <c r="R10" s="25">
        <v>11025</v>
      </c>
      <c r="S10" s="24">
        <v>0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x14ac:dyDescent="0.25">
      <c r="A11" s="1" t="s">
        <v>9</v>
      </c>
      <c r="B11" s="1" t="s">
        <v>17</v>
      </c>
      <c r="C11" s="6">
        <v>298550.96999999997</v>
      </c>
      <c r="D11" s="23">
        <f>C11+176001.13-184891.16-19279+11614</f>
        <v>281995.93999999994</v>
      </c>
      <c r="E11" s="23">
        <f>D11+182802.68-169407.47+13440</f>
        <v>308831.14999999991</v>
      </c>
      <c r="F11" s="23">
        <f>E11+182519.28-171317.36+12010.29</f>
        <v>332043.35999999993</v>
      </c>
      <c r="G11" s="23">
        <f>F11+153228.72-174360.7-106404.34</f>
        <v>204507.03999999995</v>
      </c>
      <c r="H11" s="23">
        <f>G11+190302.7-177493.49-72132.25</f>
        <v>145184</v>
      </c>
      <c r="I11" s="23">
        <f>H11+149685.18-170148.86+36134</f>
        <v>160854.32</v>
      </c>
      <c r="J11" s="23">
        <f>I11+166325.93-184588.25</f>
        <v>142592</v>
      </c>
      <c r="K11" s="23">
        <f>J11+190799.89-191579.89</f>
        <v>141812</v>
      </c>
      <c r="L11" s="23">
        <f>K11+182247.81-163695.3</f>
        <v>160364.51</v>
      </c>
      <c r="M11" s="23">
        <f>L11+153904.52-170648.91</f>
        <v>143620.12000000002</v>
      </c>
      <c r="N11" s="23">
        <f>M11+232807.14-171187.59</f>
        <v>205239.67</v>
      </c>
      <c r="O11" s="23">
        <f>N11+132807.82-148707.3</f>
        <v>189340.19</v>
      </c>
      <c r="Q11" s="25">
        <v>13440</v>
      </c>
      <c r="R11" s="25">
        <v>19279</v>
      </c>
      <c r="S11" s="24">
        <f>11614</f>
        <v>11614</v>
      </c>
      <c r="T11" s="17"/>
      <c r="U11" s="17">
        <f>31883-19872.71</f>
        <v>12010.29</v>
      </c>
      <c r="V11" s="17">
        <v>-106404.34</v>
      </c>
      <c r="W11" s="17">
        <v>-72132.25</v>
      </c>
      <c r="X11" s="17">
        <v>36134</v>
      </c>
      <c r="Y11" s="17"/>
      <c r="Z11" s="17"/>
      <c r="AA11" s="17"/>
      <c r="AB11" s="17"/>
      <c r="AC11" s="17"/>
    </row>
    <row r="12" spans="1:29" x14ac:dyDescent="0.25">
      <c r="A12" s="1" t="s">
        <v>10</v>
      </c>
      <c r="B12" s="1" t="s">
        <v>17</v>
      </c>
      <c r="C12" s="6">
        <v>225347.17</v>
      </c>
      <c r="D12" s="23">
        <f>C12+201126.85-197966.36-40146.35+70870.26</f>
        <v>259231.57</v>
      </c>
      <c r="E12" s="23">
        <f>D12+201291.84-195015.1+15323-20930.7</f>
        <v>259900.61000000004</v>
      </c>
      <c r="F12" s="23">
        <f>E12+240604.65-200594.82+8049.32</f>
        <v>307959.76</v>
      </c>
      <c r="G12" s="23">
        <f>F12+181928.37-194190.02-96068.27</f>
        <v>199629.83999999997</v>
      </c>
      <c r="H12" s="23">
        <f>G12+206030.62-221893.46-109680.64</f>
        <v>74086.359999999971</v>
      </c>
      <c r="I12" s="23">
        <f>H12+175092.34-218710.57+71968</f>
        <v>102436.12999999995</v>
      </c>
      <c r="J12" s="23">
        <f>I12+196953.08-218665.99</f>
        <v>80723.219999999972</v>
      </c>
      <c r="K12" s="23">
        <f>J12+226264.64-213945.95</f>
        <v>93041.909999999974</v>
      </c>
      <c r="L12" s="23">
        <f>K12+195249.09-212811.89</f>
        <v>75479.109999999986</v>
      </c>
      <c r="M12" s="23">
        <f>L12+186643.71-200475.05</f>
        <v>61647.76999999999</v>
      </c>
      <c r="N12" s="23">
        <f>M12+274298.33-198852.98</f>
        <v>137093.11999999997</v>
      </c>
      <c r="O12" s="23">
        <f>N12+163142.34-193049.96</f>
        <v>107185.49999999997</v>
      </c>
      <c r="Q12" s="25">
        <v>15323</v>
      </c>
      <c r="R12" s="25">
        <v>40146.35</v>
      </c>
      <c r="S12" s="24">
        <f>13296.26+57574</f>
        <v>70870.259999999995</v>
      </c>
      <c r="T12" s="24">
        <f>57574-78504.7</f>
        <v>-20930.699999999997</v>
      </c>
      <c r="U12" s="24">
        <f>97556-89506.68</f>
        <v>8049.320000000007</v>
      </c>
      <c r="V12" s="24">
        <v>-96068.27</v>
      </c>
      <c r="W12" s="24">
        <v>-109680.64</v>
      </c>
      <c r="X12" s="24">
        <v>71968</v>
      </c>
      <c r="Y12" s="17"/>
      <c r="Z12" s="17"/>
      <c r="AA12" s="17"/>
      <c r="AB12" s="17"/>
      <c r="AC12" s="17"/>
    </row>
    <row r="13" spans="1:29" s="22" customFormat="1" x14ac:dyDescent="0.25">
      <c r="A13" s="20" t="s">
        <v>11</v>
      </c>
      <c r="B13" s="20" t="s">
        <v>17</v>
      </c>
      <c r="C13" s="21">
        <v>495046.09</v>
      </c>
      <c r="D13" s="21">
        <f>C13+97990.19-37500-36055.95+37500-80173-20000-120000</f>
        <v>336807.33000000007</v>
      </c>
      <c r="E13" s="21">
        <f>D13+97095.01-37500-125104.91+37500+20000+120000</f>
        <v>448797.43000000005</v>
      </c>
      <c r="F13" s="21">
        <f>E13+97990.13-37500-120399.26+37500</f>
        <v>426388.30000000005</v>
      </c>
      <c r="G13" s="21">
        <f>F13+97095.01-37500-93140.1+30500</f>
        <v>423343.21000000008</v>
      </c>
      <c r="H13" s="21">
        <f>G13+60990.13-85408.49-30500</f>
        <v>368424.85000000009</v>
      </c>
      <c r="I13" s="21">
        <f>H13+59595.01-44800.16-37500</f>
        <v>345719.70000000007</v>
      </c>
      <c r="J13" s="21">
        <f>I13+60484.77-44633.21-37500</f>
        <v>324071.26000000007</v>
      </c>
      <c r="K13" s="21">
        <f>J13+59595.01-47572.28-37500</f>
        <v>298593.99000000011</v>
      </c>
      <c r="L13" s="21">
        <f>K13+72890.13+30000-37640.16</f>
        <v>363843.96000000008</v>
      </c>
      <c r="M13" s="21">
        <f>L13+60484.77-118140.64</f>
        <v>306188.09000000008</v>
      </c>
      <c r="N13" s="21">
        <f>M13+59595.01-45131.81</f>
        <v>320651.2900000001</v>
      </c>
      <c r="O13" s="21">
        <f>N13+59595.01-84751.22+42000</f>
        <v>337495.08000000007</v>
      </c>
      <c r="P13"/>
    </row>
    <row r="14" spans="1:29" x14ac:dyDescent="0.25">
      <c r="A14" s="1" t="s">
        <v>12</v>
      </c>
      <c r="B14" s="1" t="s">
        <v>17</v>
      </c>
      <c r="C14" s="8">
        <f>SUM(C4:C13)</f>
        <v>2207142.71</v>
      </c>
      <c r="D14" s="8">
        <f t="shared" ref="D14" si="0">SUM(D4:D13)</f>
        <v>1939932.8900000001</v>
      </c>
      <c r="E14" s="8">
        <f t="shared" ref="E14" si="1">SUM(E4:E13)</f>
        <v>2108870.71</v>
      </c>
      <c r="F14" s="8">
        <f t="shared" ref="F14" si="2">SUM(F4:F13)</f>
        <v>2182946.0199999996</v>
      </c>
      <c r="G14" s="8">
        <f t="shared" ref="G14" si="3">SUM(G4:G13)</f>
        <v>1840649.3699999996</v>
      </c>
      <c r="H14" s="8">
        <f t="shared" ref="H14" si="4">SUM(H4:H13)</f>
        <v>1596508.5700000003</v>
      </c>
      <c r="I14" s="8">
        <f t="shared" ref="I14" si="5">SUM(I4:I13)</f>
        <v>1563629.3800000004</v>
      </c>
      <c r="J14" s="8">
        <f t="shared" ref="J14" si="6">SUM(J4:J13)</f>
        <v>1352712.28</v>
      </c>
      <c r="K14" s="8">
        <f t="shared" ref="K14" si="7">SUM(K4:K13)</f>
        <v>1367737.1400000001</v>
      </c>
      <c r="L14" s="8">
        <f t="shared" ref="L14" si="8">SUM(L4:L13)</f>
        <v>1469469.6800000002</v>
      </c>
      <c r="M14" s="8">
        <f t="shared" ref="M14" si="9">SUM(M4:M13)</f>
        <v>1298572.8400000003</v>
      </c>
      <c r="N14" s="8">
        <f t="shared" ref="N14" si="10">SUM(N4:N13)</f>
        <v>1893345.8099999998</v>
      </c>
      <c r="O14" s="8">
        <f t="shared" ref="O14" si="11">SUM(O4:O13)</f>
        <v>1838848.36</v>
      </c>
    </row>
    <row r="15" spans="1:29" x14ac:dyDescent="0.25">
      <c r="D15" s="17"/>
    </row>
    <row r="16" spans="1:29" x14ac:dyDescent="0.25">
      <c r="D16" s="17">
        <v>228507.66</v>
      </c>
      <c r="E16">
        <v>250107.4</v>
      </c>
      <c r="F16">
        <v>290117.23</v>
      </c>
      <c r="G16">
        <v>277855.57999999996</v>
      </c>
      <c r="H16">
        <v>261992.73999999996</v>
      </c>
      <c r="I16">
        <v>218374.50999999995</v>
      </c>
      <c r="J16">
        <v>196661.59999999995</v>
      </c>
      <c r="K16">
        <v>205980.25999999992</v>
      </c>
      <c r="L16">
        <v>188417.4599999999</v>
      </c>
      <c r="M16">
        <v>174586.11999999991</v>
      </c>
      <c r="N16">
        <v>250031.46999999991</v>
      </c>
      <c r="O16">
        <v>220123.84999999992</v>
      </c>
    </row>
    <row r="18" spans="1:20" ht="18.75" x14ac:dyDescent="0.3">
      <c r="A18" s="2" t="s">
        <v>13</v>
      </c>
      <c r="B18" s="2"/>
      <c r="D18" s="27"/>
    </row>
    <row r="20" spans="1:20" x14ac:dyDescent="0.25">
      <c r="C20" s="3">
        <f>C3</f>
        <v>45900</v>
      </c>
      <c r="D20" s="3">
        <f t="shared" ref="D20:O20" si="12">D3</f>
        <v>45930</v>
      </c>
      <c r="E20" s="3">
        <f t="shared" si="12"/>
        <v>45961</v>
      </c>
      <c r="F20" s="3">
        <f t="shared" si="12"/>
        <v>45991</v>
      </c>
      <c r="G20" s="3">
        <f t="shared" si="12"/>
        <v>46022</v>
      </c>
      <c r="H20" s="3">
        <f t="shared" si="12"/>
        <v>46053</v>
      </c>
      <c r="I20" s="3">
        <f t="shared" si="12"/>
        <v>46081</v>
      </c>
      <c r="J20" s="3">
        <f t="shared" si="12"/>
        <v>46112</v>
      </c>
      <c r="K20" s="3">
        <f t="shared" si="12"/>
        <v>46142</v>
      </c>
      <c r="L20" s="3">
        <f t="shared" si="12"/>
        <v>46173</v>
      </c>
      <c r="M20" s="3">
        <f t="shared" si="12"/>
        <v>46203</v>
      </c>
      <c r="N20" s="3">
        <f t="shared" si="12"/>
        <v>46234</v>
      </c>
      <c r="O20" s="3">
        <f t="shared" si="12"/>
        <v>46265</v>
      </c>
    </row>
    <row r="21" spans="1:20" x14ac:dyDescent="0.25">
      <c r="A21" s="1" t="s">
        <v>2</v>
      </c>
      <c r="B21" s="1" t="s">
        <v>15</v>
      </c>
      <c r="C21" s="6">
        <v>145252.26999999999</v>
      </c>
      <c r="D21" s="6">
        <v>142802.51</v>
      </c>
      <c r="E21" s="6">
        <v>183941.09</v>
      </c>
      <c r="F21" s="6">
        <v>207744.62</v>
      </c>
      <c r="G21" s="6">
        <v>136583.07</v>
      </c>
      <c r="H21" s="6">
        <v>152482.54999999999</v>
      </c>
      <c r="I21" s="6">
        <v>151064.13</v>
      </c>
      <c r="J21" s="6">
        <v>84841.919999999998</v>
      </c>
      <c r="K21" s="6">
        <v>91434.559999999998</v>
      </c>
      <c r="L21" s="6">
        <v>73575.100000000006</v>
      </c>
      <c r="M21" s="6">
        <v>53668.398999999998</v>
      </c>
      <c r="N21" s="6">
        <v>129522.61</v>
      </c>
      <c r="O21" s="6">
        <v>70014.11</v>
      </c>
    </row>
    <row r="22" spans="1:20" x14ac:dyDescent="0.25">
      <c r="A22" s="1" t="s">
        <v>3</v>
      </c>
      <c r="B22" s="1" t="s">
        <v>15</v>
      </c>
      <c r="C22" s="6">
        <v>103973.21</v>
      </c>
      <c r="D22" s="6">
        <v>102458.82</v>
      </c>
      <c r="E22" s="6">
        <v>108059.51</v>
      </c>
      <c r="F22" s="6">
        <v>138014.71</v>
      </c>
      <c r="G22" s="6">
        <v>101545.4</v>
      </c>
      <c r="H22" s="6">
        <v>115340.51</v>
      </c>
      <c r="I22" s="6">
        <v>112508.39</v>
      </c>
      <c r="J22" s="6">
        <v>82473.67</v>
      </c>
      <c r="K22" s="6">
        <v>82617.600000000006</v>
      </c>
      <c r="L22" s="6">
        <v>98766.06</v>
      </c>
      <c r="M22" s="6">
        <v>83855.320000000007</v>
      </c>
      <c r="N22" s="6">
        <v>116239.61</v>
      </c>
      <c r="O22" s="6">
        <v>88324.56</v>
      </c>
      <c r="Q22" s="5"/>
      <c r="R22" s="5"/>
      <c r="S22" s="5"/>
    </row>
    <row r="23" spans="1:20" x14ac:dyDescent="0.25">
      <c r="A23" s="1" t="s">
        <v>4</v>
      </c>
      <c r="B23" s="1" t="s">
        <v>15</v>
      </c>
      <c r="C23" s="6">
        <v>216687.21</v>
      </c>
      <c r="D23" s="6">
        <v>209540.64</v>
      </c>
      <c r="E23" s="6">
        <v>286235.65999999997</v>
      </c>
      <c r="F23" s="6">
        <v>227845.42</v>
      </c>
      <c r="G23" s="6">
        <v>202070.48</v>
      </c>
      <c r="H23" s="6">
        <v>208728.86</v>
      </c>
      <c r="I23" s="6">
        <v>175307.76</v>
      </c>
      <c r="J23" s="6">
        <v>106929.32</v>
      </c>
      <c r="K23" s="6">
        <v>98854.17</v>
      </c>
      <c r="L23" s="6">
        <v>159664.21</v>
      </c>
      <c r="M23" s="6">
        <v>120983.52</v>
      </c>
      <c r="N23" s="6">
        <v>233590.44</v>
      </c>
      <c r="O23" s="6">
        <v>174140.54</v>
      </c>
      <c r="Q23" s="5"/>
      <c r="R23" s="5"/>
      <c r="S23" s="5"/>
    </row>
    <row r="24" spans="1:20" x14ac:dyDescent="0.25">
      <c r="A24" s="1" t="s">
        <v>5</v>
      </c>
      <c r="B24" s="1" t="s">
        <v>15</v>
      </c>
      <c r="C24" s="6">
        <v>123921.84</v>
      </c>
      <c r="D24" s="6">
        <v>120282.14</v>
      </c>
      <c r="E24" s="6">
        <v>112184.85</v>
      </c>
      <c r="F24" s="6">
        <v>115726.73</v>
      </c>
      <c r="G24" s="6">
        <v>117926.54</v>
      </c>
      <c r="H24" s="6">
        <v>129059.9</v>
      </c>
      <c r="I24" s="6">
        <v>133541.26</v>
      </c>
      <c r="J24" s="6">
        <v>128833.8</v>
      </c>
      <c r="K24" s="6">
        <v>181839.17</v>
      </c>
      <c r="L24" s="6">
        <v>168751.38</v>
      </c>
      <c r="M24" s="6">
        <v>185664.49</v>
      </c>
      <c r="N24" s="6">
        <v>179726.67</v>
      </c>
      <c r="O24" s="6">
        <v>169822.11</v>
      </c>
      <c r="Q24" s="5"/>
      <c r="R24" s="5"/>
      <c r="S24" s="5"/>
    </row>
    <row r="25" spans="1:20" x14ac:dyDescent="0.25">
      <c r="A25" s="1" t="s">
        <v>6</v>
      </c>
      <c r="B25" s="1" t="s">
        <v>15</v>
      </c>
      <c r="C25" s="6">
        <v>213054.12</v>
      </c>
      <c r="D25" s="6">
        <f>120151.54+90930.85</f>
        <v>211082.39</v>
      </c>
      <c r="E25" s="6">
        <f>148331.38+91081.56</f>
        <v>239412.94</v>
      </c>
      <c r="F25" s="6">
        <f>136655.3+91217.9</f>
        <v>227873.19999999998</v>
      </c>
      <c r="G25" s="6">
        <f>125757.27+91310.54</f>
        <v>217067.81</v>
      </c>
      <c r="H25" s="6">
        <v>224766.64</v>
      </c>
      <c r="I25" s="6">
        <v>216117.28</v>
      </c>
      <c r="J25" s="6">
        <v>186037</v>
      </c>
      <c r="K25" s="6">
        <v>190512.16</v>
      </c>
      <c r="L25" s="6">
        <v>216763.57</v>
      </c>
      <c r="M25" s="6">
        <v>209406.92</v>
      </c>
      <c r="N25" s="6">
        <v>250100.6</v>
      </c>
      <c r="O25" s="6">
        <v>239449.31</v>
      </c>
      <c r="Q25" s="5"/>
      <c r="R25" s="5"/>
      <c r="S25" s="5"/>
    </row>
    <row r="26" spans="1:20" x14ac:dyDescent="0.25">
      <c r="A26" s="1" t="s">
        <v>7</v>
      </c>
      <c r="B26" s="1" t="s">
        <v>15</v>
      </c>
      <c r="C26" s="6">
        <v>83575.48</v>
      </c>
      <c r="D26" s="6">
        <v>89155.87</v>
      </c>
      <c r="E26" s="6">
        <f>250642.37-120000</f>
        <v>130642.37</v>
      </c>
      <c r="F26" s="6">
        <f>211564.11-120000</f>
        <v>91564.109999999986</v>
      </c>
      <c r="G26" s="6">
        <f>122088.83-120000</f>
        <v>2088.8300000000017</v>
      </c>
      <c r="H26" s="6">
        <v>122918.19</v>
      </c>
      <c r="I26" s="6">
        <v>88244.78</v>
      </c>
      <c r="J26" s="6">
        <v>59399.9</v>
      </c>
      <c r="K26" s="6">
        <v>46586.9</v>
      </c>
      <c r="L26" s="6">
        <v>77483.72</v>
      </c>
      <c r="M26" s="6">
        <v>74574.149999999994</v>
      </c>
      <c r="N26" s="6">
        <v>127872.38</v>
      </c>
      <c r="O26" s="6">
        <v>41630.269999999997</v>
      </c>
      <c r="Q26" s="5"/>
      <c r="R26" s="5"/>
      <c r="S26" s="5"/>
    </row>
    <row r="27" spans="1:20" x14ac:dyDescent="0.25">
      <c r="A27" s="1" t="s">
        <v>8</v>
      </c>
      <c r="B27" s="1" t="s">
        <v>15</v>
      </c>
      <c r="C27" s="6">
        <v>301734.34999999998</v>
      </c>
      <c r="D27" s="6">
        <f>219027.33+61930.14</f>
        <v>280957.46999999997</v>
      </c>
      <c r="E27" s="6">
        <f>404425.49+62088.77</f>
        <v>466514.26</v>
      </c>
      <c r="F27" s="6">
        <f>381076.45+62119.89</f>
        <v>443196.34</v>
      </c>
      <c r="G27" s="6">
        <f>355875.82+62521.43</f>
        <v>418397.25</v>
      </c>
      <c r="H27" s="6">
        <v>429144.12</v>
      </c>
      <c r="I27" s="6">
        <v>432573.95</v>
      </c>
      <c r="J27" s="6">
        <v>339052.33</v>
      </c>
      <c r="K27" s="6">
        <v>357001.49</v>
      </c>
      <c r="L27" s="6">
        <v>387184.95</v>
      </c>
      <c r="M27" s="6">
        <v>394045.6</v>
      </c>
      <c r="N27" s="6">
        <v>302383.78000000003</v>
      </c>
      <c r="O27" s="6">
        <v>310854.98</v>
      </c>
      <c r="Q27" s="5"/>
      <c r="R27" s="5"/>
      <c r="S27" s="5"/>
    </row>
    <row r="28" spans="1:20" x14ac:dyDescent="0.25">
      <c r="A28" s="1" t="s">
        <v>9</v>
      </c>
      <c r="B28" s="1" t="s">
        <v>15</v>
      </c>
      <c r="C28" s="6">
        <v>298550.96999999997</v>
      </c>
      <c r="D28" s="6">
        <v>272634.78999999998</v>
      </c>
      <c r="E28" s="6">
        <v>335233.59999999998</v>
      </c>
      <c r="F28" s="6">
        <v>379087.15</v>
      </c>
      <c r="G28" s="6">
        <v>218579.07</v>
      </c>
      <c r="H28" s="6">
        <v>166034.67000000001</v>
      </c>
      <c r="I28" s="6">
        <v>158504.75</v>
      </c>
      <c r="J28" s="6">
        <v>158747.29999999999</v>
      </c>
      <c r="K28" s="6">
        <v>189219.87</v>
      </c>
      <c r="L28" s="6">
        <v>230636.28</v>
      </c>
      <c r="M28" s="6">
        <v>253785.05</v>
      </c>
      <c r="N28" s="6">
        <v>295304.71999999997</v>
      </c>
      <c r="O28" s="6">
        <v>246098.92</v>
      </c>
      <c r="Q28" s="5"/>
      <c r="R28" s="5"/>
      <c r="S28" s="5"/>
    </row>
    <row r="29" spans="1:20" x14ac:dyDescent="0.25">
      <c r="A29" s="1" t="s">
        <v>10</v>
      </c>
      <c r="B29" s="1" t="s">
        <v>15</v>
      </c>
      <c r="C29" s="6">
        <v>225347.17</v>
      </c>
      <c r="D29" s="6">
        <v>214026.86</v>
      </c>
      <c r="E29" s="6">
        <v>197613.44</v>
      </c>
      <c r="F29" s="6">
        <v>199849.92</v>
      </c>
      <c r="G29" s="6">
        <v>82770.09</v>
      </c>
      <c r="H29" s="6">
        <v>69868.990000000005</v>
      </c>
      <c r="I29" s="6">
        <v>80149.3</v>
      </c>
      <c r="J29" s="6">
        <v>23936.42</v>
      </c>
      <c r="K29" s="6">
        <v>50245.65</v>
      </c>
      <c r="L29" s="6">
        <v>-41086.160000000003</v>
      </c>
      <c r="M29" s="6">
        <v>-59095.76</v>
      </c>
      <c r="N29" s="6">
        <v>112144.34</v>
      </c>
      <c r="O29" s="6">
        <v>62335.39</v>
      </c>
      <c r="Q29" s="5"/>
      <c r="R29" s="5"/>
      <c r="S29" s="5"/>
    </row>
    <row r="30" spans="1:20" x14ac:dyDescent="0.25">
      <c r="A30" s="1" t="s">
        <v>11</v>
      </c>
      <c r="B30" s="1" t="s">
        <v>15</v>
      </c>
      <c r="C30" s="6">
        <v>495046.09</v>
      </c>
      <c r="D30" s="6">
        <v>333754.89</v>
      </c>
      <c r="E30" s="6">
        <v>463249.29000000004</v>
      </c>
      <c r="F30" s="6">
        <f>184294.67+120000+64263.35+51572.84-600.06</f>
        <v>419530.8</v>
      </c>
      <c r="G30" s="6">
        <f>120000+191464.56+64696.89+51700.26</f>
        <v>427861.71</v>
      </c>
      <c r="H30" s="6">
        <v>373992.26</v>
      </c>
      <c r="I30" s="6">
        <v>404826.03</v>
      </c>
      <c r="J30" s="6">
        <v>288438.96999999997</v>
      </c>
      <c r="K30" s="6">
        <v>268092.49</v>
      </c>
      <c r="L30" s="6">
        <v>300724.45</v>
      </c>
      <c r="M30" s="6">
        <v>298473.57</v>
      </c>
      <c r="N30" s="6">
        <v>322634.84999999998</v>
      </c>
      <c r="O30" s="6">
        <v>374034.64</v>
      </c>
      <c r="Q30" s="5"/>
      <c r="R30" s="5"/>
      <c r="S30" s="5"/>
    </row>
    <row r="31" spans="1:20" x14ac:dyDescent="0.25">
      <c r="A31" s="4" t="s">
        <v>43</v>
      </c>
      <c r="B31" s="4" t="s">
        <v>15</v>
      </c>
      <c r="C31" s="7">
        <v>0</v>
      </c>
      <c r="D31" s="7">
        <v>0</v>
      </c>
      <c r="E31" s="7">
        <v>0</v>
      </c>
      <c r="F31" s="7">
        <f>51476+600.06</f>
        <v>52076.06</v>
      </c>
      <c r="G31" s="7">
        <v>48087.85</v>
      </c>
      <c r="H31" s="7">
        <v>48112.86</v>
      </c>
      <c r="I31" s="7">
        <v>45909.61</v>
      </c>
      <c r="J31" s="15">
        <v>36527.72</v>
      </c>
      <c r="K31" s="7">
        <v>36543.230000000003</v>
      </c>
      <c r="L31" s="7">
        <v>36244.28</v>
      </c>
      <c r="M31" s="7">
        <v>24608.52</v>
      </c>
      <c r="N31" s="7">
        <v>24618.63</v>
      </c>
      <c r="O31" s="7">
        <v>379.42</v>
      </c>
      <c r="Q31" s="5"/>
      <c r="T31" s="19"/>
    </row>
    <row r="32" spans="1:20" x14ac:dyDescent="0.25">
      <c r="A32" s="1" t="s">
        <v>12</v>
      </c>
      <c r="B32" s="1" t="s">
        <v>15</v>
      </c>
      <c r="C32" s="8">
        <f t="shared" ref="C32:O32" si="13">SUM(C21:C31)</f>
        <v>2207142.71</v>
      </c>
      <c r="D32" s="8">
        <f t="shared" si="13"/>
        <v>1976696.38</v>
      </c>
      <c r="E32" s="8">
        <f t="shared" si="13"/>
        <v>2523087.0099999998</v>
      </c>
      <c r="F32" s="8">
        <f t="shared" si="13"/>
        <v>2502509.0599999996</v>
      </c>
      <c r="G32" s="8">
        <f t="shared" si="13"/>
        <v>1972978.1</v>
      </c>
      <c r="H32" s="8">
        <f t="shared" si="13"/>
        <v>2040449.55</v>
      </c>
      <c r="I32" s="8">
        <f t="shared" si="13"/>
        <v>1998747.2400000002</v>
      </c>
      <c r="J32" s="8">
        <f t="shared" si="13"/>
        <v>1495218.3499999999</v>
      </c>
      <c r="K32" s="8">
        <f t="shared" si="13"/>
        <v>1592947.2899999998</v>
      </c>
      <c r="L32" s="8">
        <f t="shared" si="13"/>
        <v>1708707.8400000001</v>
      </c>
      <c r="M32" s="8">
        <f t="shared" si="13"/>
        <v>1639969.7790000001</v>
      </c>
      <c r="N32" s="8">
        <f t="shared" si="13"/>
        <v>2094138.63</v>
      </c>
      <c r="O32" s="8">
        <f t="shared" si="13"/>
        <v>1777084.2499999995</v>
      </c>
      <c r="T32" s="18"/>
    </row>
    <row r="33" spans="1:15" x14ac:dyDescent="0.25">
      <c r="E33" t="s">
        <v>41</v>
      </c>
    </row>
    <row r="34" spans="1:15" x14ac:dyDescent="0.25">
      <c r="C34" s="14"/>
      <c r="D34" s="14"/>
      <c r="E34" s="14"/>
      <c r="F34" s="14"/>
      <c r="G34" s="14"/>
      <c r="H34" s="14"/>
      <c r="I34" s="14"/>
    </row>
    <row r="36" spans="1:15" ht="18.75" x14ac:dyDescent="0.3">
      <c r="A36" s="2" t="s">
        <v>14</v>
      </c>
      <c r="B36" s="2"/>
      <c r="C36" s="12" t="s">
        <v>35</v>
      </c>
    </row>
    <row r="37" spans="1:15" x14ac:dyDescent="0.25">
      <c r="C37" s="13" t="s">
        <v>36</v>
      </c>
    </row>
    <row r="38" spans="1:15" x14ac:dyDescent="0.25">
      <c r="C38" s="3">
        <f t="shared" ref="C38:O38" si="14">C20</f>
        <v>45900</v>
      </c>
      <c r="D38" s="3">
        <f t="shared" si="14"/>
        <v>45930</v>
      </c>
      <c r="E38" s="3">
        <f t="shared" si="14"/>
        <v>45961</v>
      </c>
      <c r="F38" s="3">
        <f t="shared" si="14"/>
        <v>45991</v>
      </c>
      <c r="G38" s="3">
        <f t="shared" si="14"/>
        <v>46022</v>
      </c>
      <c r="H38" s="3">
        <f t="shared" si="14"/>
        <v>46053</v>
      </c>
      <c r="I38" s="3">
        <f t="shared" si="14"/>
        <v>46081</v>
      </c>
      <c r="J38" s="3">
        <f t="shared" si="14"/>
        <v>46112</v>
      </c>
      <c r="K38" s="3">
        <f t="shared" si="14"/>
        <v>46142</v>
      </c>
      <c r="L38" s="3">
        <f t="shared" si="14"/>
        <v>46173</v>
      </c>
      <c r="M38" s="3">
        <f t="shared" si="14"/>
        <v>46203</v>
      </c>
      <c r="N38" s="3">
        <f t="shared" si="14"/>
        <v>46234</v>
      </c>
      <c r="O38" s="3">
        <f t="shared" si="14"/>
        <v>46265</v>
      </c>
    </row>
    <row r="39" spans="1:15" x14ac:dyDescent="0.25">
      <c r="A39" s="1" t="s">
        <v>2</v>
      </c>
      <c r="B39" s="1" t="s">
        <v>16</v>
      </c>
      <c r="C39" s="6">
        <v>145252.26999999999</v>
      </c>
      <c r="D39" s="26">
        <v>125475.63</v>
      </c>
      <c r="E39" s="6">
        <v>121412.18000000002</v>
      </c>
      <c r="F39" s="6">
        <v>129094.71000000002</v>
      </c>
      <c r="G39" s="6">
        <v>113820.09000000003</v>
      </c>
      <c r="H39" s="6">
        <v>113054.18000000005</v>
      </c>
      <c r="I39" s="6">
        <v>99061.96000000005</v>
      </c>
      <c r="J39" s="28">
        <f>I21+162020.42-185876.12</f>
        <v>127208.43000000005</v>
      </c>
      <c r="K39" s="28">
        <f>J39+168172.97-171927.47</f>
        <v>123453.93000000002</v>
      </c>
      <c r="L39" s="28">
        <f>K39+215069.19-174951.52</f>
        <v>163571.6</v>
      </c>
      <c r="M39" s="28">
        <f>L39+154663.43-171491.58</f>
        <v>146743.45000000004</v>
      </c>
      <c r="N39" s="28">
        <f>M39+233385.95-171108.29</f>
        <v>209021.11000000002</v>
      </c>
      <c r="O39" s="28">
        <f>N39+181143.05-189111.33</f>
        <v>201052.83000000005</v>
      </c>
    </row>
    <row r="40" spans="1:15" x14ac:dyDescent="0.25">
      <c r="A40" s="1" t="s">
        <v>3</v>
      </c>
      <c r="B40" s="1" t="s">
        <v>16</v>
      </c>
      <c r="C40" s="6">
        <v>103973.21</v>
      </c>
      <c r="D40" s="26">
        <v>91045.05</v>
      </c>
      <c r="E40" s="6">
        <v>96254.640000000014</v>
      </c>
      <c r="F40" s="6">
        <v>106863.01000000002</v>
      </c>
      <c r="G40" s="6">
        <v>96618.540000000008</v>
      </c>
      <c r="H40" s="6">
        <v>98509.560000000027</v>
      </c>
      <c r="I40" s="6">
        <v>89746.060000000027</v>
      </c>
      <c r="J40" s="28">
        <f>I22+108045.75-125756.36</f>
        <v>94797.780000000013</v>
      </c>
      <c r="K40" s="28">
        <f>J40+108430.01-113726.29</f>
        <v>89501.500000000015</v>
      </c>
      <c r="L40" s="28">
        <f>K40+123276.71-108230.26</f>
        <v>104547.95000000003</v>
      </c>
      <c r="M40" s="28">
        <f>L40+113168.38-117909.52</f>
        <v>99806.810000000012</v>
      </c>
      <c r="N40" s="28">
        <f>M40+148743.59-107865.91</f>
        <v>140684.49000000002</v>
      </c>
      <c r="O40" s="28">
        <f>N40+90621.68-103202.3</f>
        <v>128103.87000000001</v>
      </c>
    </row>
    <row r="41" spans="1:15" x14ac:dyDescent="0.25">
      <c r="A41" s="1" t="s">
        <v>4</v>
      </c>
      <c r="B41" s="1" t="s">
        <v>16</v>
      </c>
      <c r="C41" s="6">
        <v>216687.21</v>
      </c>
      <c r="D41" s="26">
        <v>190542.39999999997</v>
      </c>
      <c r="E41" s="6">
        <v>169645.01999999996</v>
      </c>
      <c r="F41" s="6">
        <v>174259.01999999996</v>
      </c>
      <c r="G41" s="6">
        <v>151363.63999999996</v>
      </c>
      <c r="H41" s="6">
        <v>138011.12</v>
      </c>
      <c r="I41" s="6">
        <v>113666.18</v>
      </c>
      <c r="J41" s="28">
        <f>I23+270069.15-311224.34</f>
        <v>134152.57</v>
      </c>
      <c r="K41" s="28">
        <f>J41+307221.41-282700.26</f>
        <v>158673.71999999997</v>
      </c>
      <c r="L41" s="28">
        <f>K41+280961.78-277584.87</f>
        <v>162050.63</v>
      </c>
      <c r="M41" s="28">
        <f>L41+273636.89-275801.2</f>
        <v>159886.32</v>
      </c>
      <c r="N41" s="28">
        <f>M41+377581.03-278280.92</f>
        <v>259186.43000000011</v>
      </c>
      <c r="O41" s="28">
        <f>N41+231932.48-247370.04</f>
        <v>243748.87000000014</v>
      </c>
    </row>
    <row r="42" spans="1:15" x14ac:dyDescent="0.25">
      <c r="A42" s="1" t="s">
        <v>5</v>
      </c>
      <c r="B42" s="1" t="s">
        <v>16</v>
      </c>
      <c r="C42" s="6">
        <v>123921.84</v>
      </c>
      <c r="D42" s="26">
        <v>105464.81999999999</v>
      </c>
      <c r="E42" s="6">
        <v>102813.5</v>
      </c>
      <c r="F42" s="6">
        <v>104906.28999999998</v>
      </c>
      <c r="G42" s="6">
        <v>99140.449999999968</v>
      </c>
      <c r="H42" s="6">
        <v>96941.109999999971</v>
      </c>
      <c r="I42" s="6">
        <v>106938.41999999997</v>
      </c>
      <c r="J42" s="28">
        <f>I24+70785.69-69901.59</f>
        <v>134425.36000000002</v>
      </c>
      <c r="K42" s="28">
        <f>J42+53778.99-59773.77</f>
        <v>128430.58000000002</v>
      </c>
      <c r="L42" s="28">
        <f>K42+67792.93-58331.51</f>
        <v>137892</v>
      </c>
      <c r="M42" s="28">
        <f>L42+62562.67-78424.6</f>
        <v>122030.06999999998</v>
      </c>
      <c r="N42" s="28">
        <f>M42+94252.48-56731.71</f>
        <v>159550.84</v>
      </c>
      <c r="O42" s="28">
        <f>N42+44115.65-51489.13</f>
        <v>152177.35999999999</v>
      </c>
    </row>
    <row r="43" spans="1:15" x14ac:dyDescent="0.25">
      <c r="A43" s="1" t="s">
        <v>6</v>
      </c>
      <c r="B43" s="1" t="s">
        <v>16</v>
      </c>
      <c r="C43" s="6">
        <v>213054.12</v>
      </c>
      <c r="D43" s="26">
        <v>201698.46000000002</v>
      </c>
      <c r="E43" s="6">
        <v>208621.47000000003</v>
      </c>
      <c r="F43" s="6">
        <v>208638.39</v>
      </c>
      <c r="G43" s="6">
        <v>199040.48</v>
      </c>
      <c r="H43" s="6">
        <v>209531.47000000003</v>
      </c>
      <c r="I43" s="6">
        <v>199008.35000000003</v>
      </c>
      <c r="J43" s="28">
        <f>I25+115328.84-120991.9</f>
        <v>210454.22</v>
      </c>
      <c r="K43" s="28">
        <f>J43+116223.39-103972.65</f>
        <v>222704.96</v>
      </c>
      <c r="L43" s="28">
        <f>K43+106601.87-115189.23</f>
        <v>214117.59999999998</v>
      </c>
      <c r="M43" s="28">
        <f>L43+106950.53-106575.07</f>
        <v>214493.06</v>
      </c>
      <c r="N43" s="28">
        <f>M43+143161.81-105350.47</f>
        <v>252304.4</v>
      </c>
      <c r="O43" s="28">
        <f>N43+94356.83-103824.32</f>
        <v>242836.90999999997</v>
      </c>
    </row>
    <row r="44" spans="1:15" x14ac:dyDescent="0.25">
      <c r="A44" s="1" t="s">
        <v>7</v>
      </c>
      <c r="B44" s="1" t="s">
        <v>16</v>
      </c>
      <c r="C44" s="6">
        <v>83575.48</v>
      </c>
      <c r="D44" s="26">
        <v>52963.550000000017</v>
      </c>
      <c r="E44" s="6">
        <v>84763.260000000068</v>
      </c>
      <c r="F44" s="6">
        <v>85571.780000000072</v>
      </c>
      <c r="G44" s="6">
        <v>64199.140000000043</v>
      </c>
      <c r="H44" s="6">
        <v>67718.730000000069</v>
      </c>
      <c r="I44" s="6">
        <v>81348.140000000087</v>
      </c>
      <c r="J44" s="28">
        <f>I26+212172.55-269480.46</f>
        <v>30936.869999999937</v>
      </c>
      <c r="K44" s="28">
        <f>J44+221054.11-200086.21</f>
        <v>51904.769999999931</v>
      </c>
      <c r="L44" s="28">
        <f>K44+221739.04-216280.07</f>
        <v>57363.739999999932</v>
      </c>
      <c r="M44" s="28">
        <f>L44+196620.55-241009.19</f>
        <v>12975.099999999919</v>
      </c>
      <c r="N44" s="28">
        <f>M44+285388.42-201395.91</f>
        <v>96967.609999999899</v>
      </c>
      <c r="O44" s="28">
        <f>N44+170717.94-178345.17</f>
        <v>89340.379999999917</v>
      </c>
    </row>
    <row r="45" spans="1:15" x14ac:dyDescent="0.25">
      <c r="A45" s="1" t="s">
        <v>8</v>
      </c>
      <c r="B45" s="1" t="s">
        <v>16</v>
      </c>
      <c r="C45" s="6">
        <v>301734.34999999998</v>
      </c>
      <c r="D45" s="26">
        <v>294708.13999999996</v>
      </c>
      <c r="E45" s="6">
        <v>307831.44999999995</v>
      </c>
      <c r="F45" s="6">
        <v>307221.39999999991</v>
      </c>
      <c r="G45" s="6">
        <v>288986.93999999994</v>
      </c>
      <c r="H45" s="6">
        <v>285047.18999999994</v>
      </c>
      <c r="I45" s="6">
        <v>264850.12</v>
      </c>
      <c r="J45" s="28">
        <f>I27+240868.24-269381.61</f>
        <v>404060.57999999996</v>
      </c>
      <c r="K45" s="28">
        <f>J45+223487.58-220737.85</f>
        <v>406810.30999999994</v>
      </c>
      <c r="L45" s="28">
        <f>K45+220223.25-236875.93</f>
        <v>390157.62999999995</v>
      </c>
      <c r="M45" s="28">
        <f>L45+226232.07-226756.01</f>
        <v>389633.68999999994</v>
      </c>
      <c r="N45" s="28">
        <f>M45+304153.2-226090.98</f>
        <v>467695.90999999992</v>
      </c>
      <c r="O45" s="28">
        <f>N45+241011.97-208275.78</f>
        <v>500432.09999999986</v>
      </c>
    </row>
    <row r="46" spans="1:15" x14ac:dyDescent="0.25">
      <c r="A46" s="1" t="s">
        <v>9</v>
      </c>
      <c r="B46" s="1" t="s">
        <v>16</v>
      </c>
      <c r="C46" s="6">
        <v>298550.96999999997</v>
      </c>
      <c r="D46" s="26">
        <v>281995.93999999994</v>
      </c>
      <c r="E46" s="6">
        <v>308831.14999999991</v>
      </c>
      <c r="F46" s="6">
        <v>332043.35999999993</v>
      </c>
      <c r="G46" s="6">
        <v>204507.03999999995</v>
      </c>
      <c r="H46" s="6">
        <v>145184</v>
      </c>
      <c r="I46" s="6">
        <v>160854.32</v>
      </c>
      <c r="J46" s="28">
        <f>I28+165691.91-182201.98</f>
        <v>141994.68000000002</v>
      </c>
      <c r="K46" s="28">
        <f>J46+190783.61-189461.74</f>
        <v>143316.55000000005</v>
      </c>
      <c r="L46" s="28">
        <f>K46+181877.44-160550.91</f>
        <v>164643.08000000005</v>
      </c>
      <c r="M46" s="28">
        <f>L46+179343.84-168324.43</f>
        <v>175662.49000000005</v>
      </c>
      <c r="N46" s="28">
        <f>M46+238969.48-167618.21</f>
        <v>247013.7600000001</v>
      </c>
      <c r="O46" s="28">
        <f>N46+132966.14-148197.97</f>
        <v>231781.93000000014</v>
      </c>
    </row>
    <row r="47" spans="1:15" x14ac:dyDescent="0.25">
      <c r="A47" s="1" t="s">
        <v>10</v>
      </c>
      <c r="B47" s="1" t="s">
        <v>16</v>
      </c>
      <c r="C47" s="6">
        <v>225347.17</v>
      </c>
      <c r="D47" s="26">
        <v>259231.57</v>
      </c>
      <c r="E47" s="6">
        <v>259900.61000000004</v>
      </c>
      <c r="F47" s="6">
        <v>307959.76</v>
      </c>
      <c r="G47" s="6">
        <v>199629.83999999997</v>
      </c>
      <c r="H47" s="6">
        <v>74086.359999999971</v>
      </c>
      <c r="I47" s="6">
        <v>102436.12999999995</v>
      </c>
      <c r="J47" s="28">
        <f>I29+199310.01-213623.13</f>
        <v>65836.179999999993</v>
      </c>
      <c r="K47" s="28">
        <f>J47+224473.29-206202.37</f>
        <v>84107.099999999977</v>
      </c>
      <c r="L47" s="28">
        <f>K47+196457.77-203205.28</f>
        <v>77359.59</v>
      </c>
      <c r="M47" s="28">
        <f>L47+187852.39-192606.54</f>
        <v>72605.439999999973</v>
      </c>
      <c r="N47" s="28">
        <f>M47+276655.26-191187.91</f>
        <v>158072.78999999995</v>
      </c>
      <c r="O47" s="28">
        <f>N47+164351.02-185494.72</f>
        <v>136929.08999999994</v>
      </c>
    </row>
    <row r="48" spans="1:15" x14ac:dyDescent="0.25">
      <c r="A48" s="4" t="s">
        <v>11</v>
      </c>
      <c r="B48" s="4" t="s">
        <v>16</v>
      </c>
      <c r="C48" s="7">
        <v>495046.09</v>
      </c>
      <c r="D48" s="15">
        <v>336807.33000000007</v>
      </c>
      <c r="E48" s="7">
        <v>448797.43000000005</v>
      </c>
      <c r="F48" s="7">
        <v>426388.30000000005</v>
      </c>
      <c r="G48" s="7">
        <v>423343.21000000008</v>
      </c>
      <c r="H48" s="7">
        <v>368424.85000000009</v>
      </c>
      <c r="I48" s="7">
        <v>345719.70000000007</v>
      </c>
      <c r="J48" s="29">
        <v>328808.28999999998</v>
      </c>
      <c r="K48" s="29">
        <v>312137.25</v>
      </c>
      <c r="L48" s="29">
        <v>321938.21999999997</v>
      </c>
      <c r="M48" s="29">
        <f>L48+59863.35-72187.86</f>
        <v>309613.70999999996</v>
      </c>
      <c r="N48" s="29">
        <f>M48+60533.35-46370.74</f>
        <v>323776.31999999995</v>
      </c>
      <c r="O48" s="29">
        <f>N48+9863.35-80683.44+42000</f>
        <v>294956.22999999992</v>
      </c>
    </row>
    <row r="49" spans="1:15" x14ac:dyDescent="0.25">
      <c r="A49" s="1" t="s">
        <v>12</v>
      </c>
      <c r="B49" s="1" t="s">
        <v>16</v>
      </c>
      <c r="C49" s="8">
        <f>SUM(C39:C48)</f>
        <v>2207142.71</v>
      </c>
      <c r="D49" s="8">
        <f t="shared" ref="D49:O49" si="15">SUM(D39:D48)</f>
        <v>1939932.8900000001</v>
      </c>
      <c r="E49" s="8">
        <f t="shared" si="15"/>
        <v>2108870.71</v>
      </c>
      <c r="F49" s="8">
        <f t="shared" si="15"/>
        <v>2182946.0199999996</v>
      </c>
      <c r="G49" s="8">
        <f t="shared" si="15"/>
        <v>1840649.3699999996</v>
      </c>
      <c r="H49" s="8">
        <f t="shared" si="15"/>
        <v>1596508.5700000003</v>
      </c>
      <c r="I49" s="8">
        <f t="shared" si="15"/>
        <v>1563629.3800000004</v>
      </c>
      <c r="J49" s="8">
        <f t="shared" si="15"/>
        <v>1672674.96</v>
      </c>
      <c r="K49" s="8">
        <f t="shared" si="15"/>
        <v>1721040.67</v>
      </c>
      <c r="L49" s="8">
        <f t="shared" si="15"/>
        <v>1793642.04</v>
      </c>
      <c r="M49" s="8">
        <f t="shared" si="15"/>
        <v>1703450.1399999997</v>
      </c>
      <c r="N49" s="8">
        <f t="shared" si="15"/>
        <v>2314273.66</v>
      </c>
      <c r="O49" s="8">
        <f t="shared" si="15"/>
        <v>2221359.5699999998</v>
      </c>
    </row>
    <row r="51" spans="1:15" x14ac:dyDescent="0.25">
      <c r="A51" s="1" t="s">
        <v>37</v>
      </c>
      <c r="B51" s="1"/>
      <c r="C51">
        <f>COUNT(C39:C48)</f>
        <v>10</v>
      </c>
      <c r="D51">
        <f t="shared" ref="D51:O51" si="16">COUNT(D39:D48)</f>
        <v>10</v>
      </c>
      <c r="E51">
        <f t="shared" si="16"/>
        <v>10</v>
      </c>
      <c r="F51">
        <f t="shared" si="16"/>
        <v>10</v>
      </c>
      <c r="G51">
        <f t="shared" si="16"/>
        <v>10</v>
      </c>
      <c r="H51">
        <f t="shared" si="16"/>
        <v>10</v>
      </c>
      <c r="I51">
        <f t="shared" si="16"/>
        <v>10</v>
      </c>
      <c r="J51">
        <f t="shared" si="16"/>
        <v>10</v>
      </c>
      <c r="K51">
        <f t="shared" si="16"/>
        <v>10</v>
      </c>
      <c r="L51">
        <f t="shared" si="16"/>
        <v>10</v>
      </c>
      <c r="M51">
        <f t="shared" si="16"/>
        <v>10</v>
      </c>
      <c r="N51">
        <f t="shared" si="16"/>
        <v>10</v>
      </c>
      <c r="O51">
        <f t="shared" si="16"/>
        <v>10</v>
      </c>
    </row>
  </sheetData>
  <phoneticPr fontId="7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445A-D649-4061-99AB-46B8A56AC7CE}">
  <sheetPr codeName="Sheet2">
    <pageSetUpPr fitToPage="1"/>
  </sheetPr>
  <dimension ref="A1:T261"/>
  <sheetViews>
    <sheetView tabSelected="1" zoomScaleNormal="100" workbookViewId="0">
      <selection activeCell="Q93" sqref="Q93"/>
    </sheetView>
  </sheetViews>
  <sheetFormatPr defaultRowHeight="15" x14ac:dyDescent="0.25"/>
  <cols>
    <col min="10" max="10" width="9.85546875" bestFit="1" customWidth="1"/>
    <col min="11" max="11" width="12.42578125" bestFit="1" customWidth="1"/>
    <col min="12" max="12" width="12.42578125" customWidth="1"/>
    <col min="13" max="13" width="12.42578125" bestFit="1" customWidth="1"/>
    <col min="14" max="14" width="11.5703125" bestFit="1" customWidth="1"/>
    <col min="16" max="16" width="18.5703125" bestFit="1" customWidth="1"/>
  </cols>
  <sheetData>
    <row r="1" spans="1:20" ht="21" x14ac:dyDescent="0.35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9"/>
      <c r="O1" s="9"/>
      <c r="P1" s="9"/>
      <c r="Q1" s="9"/>
      <c r="R1" s="9"/>
      <c r="S1" s="9"/>
      <c r="T1" s="9"/>
    </row>
    <row r="6" spans="1:20" ht="15" customHeight="1" x14ac:dyDescent="0.25">
      <c r="J6" s="31" t="s">
        <v>34</v>
      </c>
      <c r="K6" s="30" t="s">
        <v>0</v>
      </c>
      <c r="L6" s="31" t="s">
        <v>14</v>
      </c>
      <c r="M6" s="30" t="s">
        <v>13</v>
      </c>
      <c r="N6" s="30" t="s">
        <v>38</v>
      </c>
    </row>
    <row r="7" spans="1:20" x14ac:dyDescent="0.25">
      <c r="J7" s="31"/>
      <c r="K7" s="30"/>
      <c r="L7" s="31"/>
      <c r="M7" s="30"/>
      <c r="N7" s="30"/>
    </row>
    <row r="8" spans="1:20" x14ac:dyDescent="0.25">
      <c r="J8" s="11" t="s">
        <v>1</v>
      </c>
      <c r="K8" s="10">
        <f>Data!D14</f>
        <v>1939932.8900000001</v>
      </c>
      <c r="L8" s="10">
        <f>Data!D49</f>
        <v>1939932.8900000001</v>
      </c>
      <c r="M8" s="10">
        <f>Data!D32</f>
        <v>1976696.38</v>
      </c>
      <c r="N8" s="10">
        <f t="shared" ref="N8:N19" si="0">IF(M8=0,"",IF(L8=0,M8-K8,M8-L8))</f>
        <v>36763.489999999758</v>
      </c>
    </row>
    <row r="9" spans="1:20" x14ac:dyDescent="0.25">
      <c r="J9" s="11" t="s">
        <v>19</v>
      </c>
      <c r="K9" s="10">
        <f>Data!E14</f>
        <v>2108870.71</v>
      </c>
      <c r="L9" s="10">
        <f>Data!E49</f>
        <v>2108870.71</v>
      </c>
      <c r="M9" s="10">
        <f>Data!E32</f>
        <v>2523087.0099999998</v>
      </c>
      <c r="N9" s="10">
        <f t="shared" si="0"/>
        <v>414216.29999999981</v>
      </c>
    </row>
    <row r="10" spans="1:20" x14ac:dyDescent="0.25">
      <c r="J10" s="11" t="s">
        <v>20</v>
      </c>
      <c r="K10" s="10">
        <f>Data!F14</f>
        <v>2182946.0199999996</v>
      </c>
      <c r="L10" s="10">
        <f>Data!F49</f>
        <v>2182946.0199999996</v>
      </c>
      <c r="M10" s="10">
        <f>Data!F32</f>
        <v>2502509.0599999996</v>
      </c>
      <c r="N10" s="10">
        <f t="shared" si="0"/>
        <v>319563.04000000004</v>
      </c>
    </row>
    <row r="11" spans="1:20" x14ac:dyDescent="0.25">
      <c r="J11" s="11" t="s">
        <v>21</v>
      </c>
      <c r="K11" s="10">
        <f>Data!G14</f>
        <v>1840649.3699999996</v>
      </c>
      <c r="L11" s="10">
        <f>Data!G49</f>
        <v>1840649.3699999996</v>
      </c>
      <c r="M11" s="10">
        <f>Data!G32</f>
        <v>1972978.1</v>
      </c>
      <c r="N11" s="10">
        <f t="shared" si="0"/>
        <v>132328.73000000045</v>
      </c>
    </row>
    <row r="12" spans="1:20" x14ac:dyDescent="0.25">
      <c r="J12" s="11" t="s">
        <v>22</v>
      </c>
      <c r="K12" s="10">
        <f>Data!H14</f>
        <v>1596508.5700000003</v>
      </c>
      <c r="L12" s="10">
        <f>Data!H49</f>
        <v>1596508.5700000003</v>
      </c>
      <c r="M12" s="10">
        <f>Data!H32</f>
        <v>2040449.55</v>
      </c>
      <c r="N12" s="10">
        <f t="shared" si="0"/>
        <v>443940.97999999975</v>
      </c>
    </row>
    <row r="13" spans="1:20" x14ac:dyDescent="0.25">
      <c r="J13" s="11" t="s">
        <v>23</v>
      </c>
      <c r="K13" s="10">
        <f>Data!I14</f>
        <v>1563629.3800000004</v>
      </c>
      <c r="L13" s="10">
        <f>Data!I49</f>
        <v>1563629.3800000004</v>
      </c>
      <c r="M13" s="10">
        <f>Data!I32</f>
        <v>1998747.2400000002</v>
      </c>
      <c r="N13" s="10">
        <f t="shared" si="0"/>
        <v>435117.85999999987</v>
      </c>
    </row>
    <row r="14" spans="1:20" x14ac:dyDescent="0.25">
      <c r="J14" s="11" t="s">
        <v>24</v>
      </c>
      <c r="K14" s="10">
        <f>Data!J14</f>
        <v>1352712.28</v>
      </c>
      <c r="L14" s="10">
        <f>Data!J49</f>
        <v>1672674.96</v>
      </c>
      <c r="M14" s="10">
        <f>Data!J32</f>
        <v>1495218.3499999999</v>
      </c>
      <c r="N14" s="10">
        <f t="shared" si="0"/>
        <v>-177456.6100000001</v>
      </c>
    </row>
    <row r="15" spans="1:20" x14ac:dyDescent="0.25">
      <c r="J15" s="11" t="s">
        <v>25</v>
      </c>
      <c r="K15" s="10">
        <f>Data!K14</f>
        <v>1367737.1400000001</v>
      </c>
      <c r="L15" s="10">
        <f>Data!K49</f>
        <v>1721040.67</v>
      </c>
      <c r="M15" s="10">
        <f>Data!K32</f>
        <v>1592947.2899999998</v>
      </c>
      <c r="N15" s="10">
        <f t="shared" si="0"/>
        <v>-128093.38000000012</v>
      </c>
    </row>
    <row r="16" spans="1:20" x14ac:dyDescent="0.25">
      <c r="J16" s="11" t="s">
        <v>26</v>
      </c>
      <c r="K16" s="10">
        <f>Data!L14</f>
        <v>1469469.6800000002</v>
      </c>
      <c r="L16" s="10">
        <f>Data!L49</f>
        <v>1793642.04</v>
      </c>
      <c r="M16" s="10">
        <f>Data!L32</f>
        <v>1708707.8400000001</v>
      </c>
      <c r="N16" s="10">
        <f t="shared" si="0"/>
        <v>-84934.199999999953</v>
      </c>
    </row>
    <row r="17" spans="10:14" x14ac:dyDescent="0.25">
      <c r="J17" s="11" t="s">
        <v>27</v>
      </c>
      <c r="K17" s="10">
        <f>Data!M14</f>
        <v>1298572.8400000003</v>
      </c>
      <c r="L17" s="10">
        <f>Data!M49</f>
        <v>1703450.1399999997</v>
      </c>
      <c r="M17" s="10">
        <f>Data!M32</f>
        <v>1639969.7790000001</v>
      </c>
      <c r="N17" s="10">
        <f t="shared" si="0"/>
        <v>-63480.360999999568</v>
      </c>
    </row>
    <row r="18" spans="10:14" x14ac:dyDescent="0.25">
      <c r="J18" s="11" t="s">
        <v>28</v>
      </c>
      <c r="K18" s="10">
        <f>Data!N14</f>
        <v>1893345.8099999998</v>
      </c>
      <c r="L18" s="10">
        <f>Data!N49</f>
        <v>2314273.66</v>
      </c>
      <c r="M18" s="10">
        <f>Data!N32</f>
        <v>2094138.63</v>
      </c>
      <c r="N18" s="10">
        <f t="shared" si="0"/>
        <v>-220135.03000000026</v>
      </c>
    </row>
    <row r="19" spans="10:14" x14ac:dyDescent="0.25">
      <c r="J19" s="11" t="s">
        <v>29</v>
      </c>
      <c r="K19" s="10">
        <f>Data!O14</f>
        <v>1838848.36</v>
      </c>
      <c r="L19" s="10">
        <f>Data!O49</f>
        <v>2221359.5699999998</v>
      </c>
      <c r="M19" s="10">
        <f>Data!O32</f>
        <v>1777084.2499999995</v>
      </c>
      <c r="N19" s="10">
        <f t="shared" si="0"/>
        <v>-444275.3200000003</v>
      </c>
    </row>
    <row r="21" spans="10:14" x14ac:dyDescent="0.25">
      <c r="J21" t="s">
        <v>39</v>
      </c>
    </row>
    <row r="28" spans="10:14" ht="15" customHeight="1" x14ac:dyDescent="0.25">
      <c r="J28" s="31" t="s">
        <v>11</v>
      </c>
      <c r="K28" s="30" t="s">
        <v>0</v>
      </c>
      <c r="L28" s="31" t="s">
        <v>14</v>
      </c>
      <c r="M28" s="30" t="s">
        <v>13</v>
      </c>
      <c r="N28" s="30" t="s">
        <v>38</v>
      </c>
    </row>
    <row r="29" spans="10:14" x14ac:dyDescent="0.25">
      <c r="J29" s="31"/>
      <c r="K29" s="30"/>
      <c r="L29" s="31"/>
      <c r="M29" s="30"/>
      <c r="N29" s="30"/>
    </row>
    <row r="30" spans="10:14" x14ac:dyDescent="0.25">
      <c r="J30" s="11" t="s">
        <v>1</v>
      </c>
      <c r="K30" s="10">
        <f>Data!D13</f>
        <v>336807.33000000007</v>
      </c>
      <c r="L30" s="10">
        <f>Data!D48</f>
        <v>336807.33000000007</v>
      </c>
      <c r="M30" s="10">
        <f>Data!D30</f>
        <v>333754.89</v>
      </c>
      <c r="N30" s="10">
        <f t="shared" ref="N30:N41" si="1">IF(M30=0,"",IF(L30=0,M30-K30,M30-L30))</f>
        <v>-3052.4400000000605</v>
      </c>
    </row>
    <row r="31" spans="10:14" x14ac:dyDescent="0.25">
      <c r="J31" s="11" t="s">
        <v>19</v>
      </c>
      <c r="K31" s="10">
        <f>Data!E13</f>
        <v>448797.43000000005</v>
      </c>
      <c r="L31" s="10">
        <f>Data!E48</f>
        <v>448797.43000000005</v>
      </c>
      <c r="M31" s="10">
        <f>Data!E30</f>
        <v>463249.29000000004</v>
      </c>
      <c r="N31" s="10">
        <f t="shared" si="1"/>
        <v>14451.859999999986</v>
      </c>
    </row>
    <row r="32" spans="10:14" x14ac:dyDescent="0.25">
      <c r="J32" s="11" t="s">
        <v>20</v>
      </c>
      <c r="K32" s="10">
        <f>Data!F13</f>
        <v>426388.30000000005</v>
      </c>
      <c r="L32" s="10">
        <f>Data!F48</f>
        <v>426388.30000000005</v>
      </c>
      <c r="M32" s="10">
        <f>Data!F30</f>
        <v>419530.8</v>
      </c>
      <c r="N32" s="10">
        <f t="shared" si="1"/>
        <v>-6857.5000000000582</v>
      </c>
    </row>
    <row r="33" spans="10:14" x14ac:dyDescent="0.25">
      <c r="J33" s="11" t="s">
        <v>21</v>
      </c>
      <c r="K33" s="10">
        <f>Data!G13</f>
        <v>423343.21000000008</v>
      </c>
      <c r="L33" s="10">
        <f>Data!G48</f>
        <v>423343.21000000008</v>
      </c>
      <c r="M33" s="10">
        <f>Data!G30</f>
        <v>427861.71</v>
      </c>
      <c r="N33" s="10">
        <f t="shared" si="1"/>
        <v>4518.4999999999418</v>
      </c>
    </row>
    <row r="34" spans="10:14" x14ac:dyDescent="0.25">
      <c r="J34" s="11" t="s">
        <v>22</v>
      </c>
      <c r="K34" s="10">
        <f>Data!H13</f>
        <v>368424.85000000009</v>
      </c>
      <c r="L34" s="10">
        <f>Data!H48</f>
        <v>368424.85000000009</v>
      </c>
      <c r="M34" s="10">
        <f>Data!H30</f>
        <v>373992.26</v>
      </c>
      <c r="N34" s="10">
        <f t="shared" si="1"/>
        <v>5567.4099999999162</v>
      </c>
    </row>
    <row r="35" spans="10:14" x14ac:dyDescent="0.25">
      <c r="J35" s="11" t="s">
        <v>23</v>
      </c>
      <c r="K35" s="10">
        <f>Data!I13</f>
        <v>345719.70000000007</v>
      </c>
      <c r="L35" s="10">
        <f>Data!I48</f>
        <v>345719.70000000007</v>
      </c>
      <c r="M35" s="10">
        <f>Data!I30</f>
        <v>404826.03</v>
      </c>
      <c r="N35" s="10">
        <f t="shared" si="1"/>
        <v>59106.329999999958</v>
      </c>
    </row>
    <row r="36" spans="10:14" x14ac:dyDescent="0.25">
      <c r="J36" s="11" t="s">
        <v>24</v>
      </c>
      <c r="K36" s="10">
        <f>Data!J13</f>
        <v>324071.26000000007</v>
      </c>
      <c r="L36" s="10">
        <f>Data!J48</f>
        <v>328808.28999999998</v>
      </c>
      <c r="M36" s="10">
        <f>Data!J30</f>
        <v>288438.96999999997</v>
      </c>
      <c r="N36" s="10">
        <f t="shared" si="1"/>
        <v>-40369.320000000007</v>
      </c>
    </row>
    <row r="37" spans="10:14" x14ac:dyDescent="0.25">
      <c r="J37" s="11" t="s">
        <v>25</v>
      </c>
      <c r="K37" s="10">
        <f>Data!K13</f>
        <v>298593.99000000011</v>
      </c>
      <c r="L37" s="10">
        <f>Data!K48</f>
        <v>312137.25</v>
      </c>
      <c r="M37" s="10">
        <f>Data!K30</f>
        <v>268092.49</v>
      </c>
      <c r="N37" s="10">
        <f t="shared" si="1"/>
        <v>-44044.760000000009</v>
      </c>
    </row>
    <row r="38" spans="10:14" x14ac:dyDescent="0.25">
      <c r="J38" s="11" t="s">
        <v>26</v>
      </c>
      <c r="K38" s="10">
        <f>Data!L13</f>
        <v>363843.96000000008</v>
      </c>
      <c r="L38" s="10">
        <f>Data!L48</f>
        <v>321938.21999999997</v>
      </c>
      <c r="M38" s="10">
        <f>Data!L30</f>
        <v>300724.45</v>
      </c>
      <c r="N38" s="10">
        <f t="shared" si="1"/>
        <v>-21213.76999999996</v>
      </c>
    </row>
    <row r="39" spans="10:14" x14ac:dyDescent="0.25">
      <c r="J39" s="11" t="s">
        <v>27</v>
      </c>
      <c r="K39" s="10">
        <f>Data!M13</f>
        <v>306188.09000000008</v>
      </c>
      <c r="L39" s="10">
        <f>Data!M48</f>
        <v>309613.70999999996</v>
      </c>
      <c r="M39" s="10">
        <f>Data!M30</f>
        <v>298473.57</v>
      </c>
      <c r="N39" s="10">
        <f t="shared" si="1"/>
        <v>-11140.139999999956</v>
      </c>
    </row>
    <row r="40" spans="10:14" x14ac:dyDescent="0.25">
      <c r="J40" s="11" t="s">
        <v>28</v>
      </c>
      <c r="K40" s="10">
        <f>Data!N13</f>
        <v>320651.2900000001</v>
      </c>
      <c r="L40" s="10">
        <f>Data!N48</f>
        <v>323776.31999999995</v>
      </c>
      <c r="M40" s="10">
        <f>Data!N30</f>
        <v>322634.84999999998</v>
      </c>
      <c r="N40" s="10">
        <f t="shared" si="1"/>
        <v>-1141.4699999999721</v>
      </c>
    </row>
    <row r="41" spans="10:14" x14ac:dyDescent="0.25">
      <c r="J41" s="11" t="s">
        <v>29</v>
      </c>
      <c r="K41" s="10">
        <f>Data!O13</f>
        <v>337495.08000000007</v>
      </c>
      <c r="L41" s="10">
        <f>Data!O48</f>
        <v>294956.22999999992</v>
      </c>
      <c r="M41" s="10">
        <f>Data!O30</f>
        <v>374034.64</v>
      </c>
      <c r="N41" s="10">
        <f t="shared" si="1"/>
        <v>79078.410000000091</v>
      </c>
    </row>
    <row r="43" spans="10:14" x14ac:dyDescent="0.25">
      <c r="J43" t="s">
        <v>39</v>
      </c>
    </row>
    <row r="50" spans="10:15" ht="15" customHeight="1" x14ac:dyDescent="0.25">
      <c r="J50" s="30" t="s">
        <v>2</v>
      </c>
      <c r="K50" s="30" t="s">
        <v>0</v>
      </c>
      <c r="L50" s="31" t="s">
        <v>14</v>
      </c>
      <c r="M50" s="30" t="s">
        <v>13</v>
      </c>
      <c r="N50" s="30" t="s">
        <v>38</v>
      </c>
    </row>
    <row r="51" spans="10:15" x14ac:dyDescent="0.25">
      <c r="J51" s="30"/>
      <c r="K51" s="30"/>
      <c r="L51" s="31"/>
      <c r="M51" s="30"/>
      <c r="N51" s="30"/>
    </row>
    <row r="52" spans="10:15" x14ac:dyDescent="0.25">
      <c r="J52" s="11" t="s">
        <v>1</v>
      </c>
      <c r="K52" s="10">
        <f>Data!D4</f>
        <v>125475.63</v>
      </c>
      <c r="L52" s="10">
        <f>Data!D39</f>
        <v>125475.63</v>
      </c>
      <c r="M52" s="10">
        <f>Data!D21</f>
        <v>142802.51</v>
      </c>
      <c r="N52" s="10">
        <f t="shared" ref="N52:N63" si="2">IF(M52=0,"",IF(L52=0,M52-K52,M52-L52))</f>
        <v>17326.880000000005</v>
      </c>
    </row>
    <row r="53" spans="10:15" x14ac:dyDescent="0.25">
      <c r="J53" s="11" t="s">
        <v>19</v>
      </c>
      <c r="K53" s="10">
        <f>Data!E4</f>
        <v>121412.18000000002</v>
      </c>
      <c r="L53" s="10">
        <f>Data!E39</f>
        <v>121412.18000000002</v>
      </c>
      <c r="M53" s="10">
        <f>Data!E21</f>
        <v>183941.09</v>
      </c>
      <c r="N53" s="10">
        <f t="shared" si="2"/>
        <v>62528.909999999974</v>
      </c>
    </row>
    <row r="54" spans="10:15" x14ac:dyDescent="0.25">
      <c r="J54" s="11" t="s">
        <v>20</v>
      </c>
      <c r="K54" s="10">
        <f>Data!F4</f>
        <v>129094.71000000002</v>
      </c>
      <c r="L54" s="10">
        <f>Data!F39</f>
        <v>129094.71000000002</v>
      </c>
      <c r="M54" s="10">
        <f>Data!F21</f>
        <v>207744.62</v>
      </c>
      <c r="N54" s="10">
        <f t="shared" si="2"/>
        <v>78649.909999999974</v>
      </c>
    </row>
    <row r="55" spans="10:15" x14ac:dyDescent="0.25">
      <c r="J55" s="11" t="s">
        <v>21</v>
      </c>
      <c r="K55" s="10">
        <f>Data!G4</f>
        <v>113820.09000000003</v>
      </c>
      <c r="L55" s="10">
        <f>Data!G39</f>
        <v>113820.09000000003</v>
      </c>
      <c r="M55" s="10">
        <f>Data!G21</f>
        <v>136583.07</v>
      </c>
      <c r="N55" s="10">
        <f t="shared" si="2"/>
        <v>22762.979999999981</v>
      </c>
    </row>
    <row r="56" spans="10:15" x14ac:dyDescent="0.25">
      <c r="J56" s="11" t="s">
        <v>22</v>
      </c>
      <c r="K56" s="10">
        <f>Data!H4</f>
        <v>113054.18000000005</v>
      </c>
      <c r="L56" s="10">
        <f>Data!H39</f>
        <v>113054.18000000005</v>
      </c>
      <c r="M56" s="10">
        <f>Data!H21</f>
        <v>152482.54999999999</v>
      </c>
      <c r="N56" s="10">
        <f t="shared" si="2"/>
        <v>39428.369999999937</v>
      </c>
    </row>
    <row r="57" spans="10:15" x14ac:dyDescent="0.25">
      <c r="J57" s="11" t="s">
        <v>23</v>
      </c>
      <c r="K57" s="10">
        <f>Data!I4</f>
        <v>99061.96000000005</v>
      </c>
      <c r="L57" s="10">
        <f>Data!I39</f>
        <v>99061.96000000005</v>
      </c>
      <c r="M57" s="10">
        <f>Data!I21</f>
        <v>151064.13</v>
      </c>
      <c r="N57" s="10">
        <f t="shared" si="2"/>
        <v>52002.169999999955</v>
      </c>
    </row>
    <row r="58" spans="10:15" x14ac:dyDescent="0.25">
      <c r="J58" s="11" t="s">
        <v>24</v>
      </c>
      <c r="K58" s="10">
        <f>Data!J4</f>
        <v>81200.620000000054</v>
      </c>
      <c r="L58" s="10">
        <f>Data!J39</f>
        <v>127208.43000000005</v>
      </c>
      <c r="M58" s="10">
        <f>Data!J21</f>
        <v>84841.919999999998</v>
      </c>
      <c r="N58" s="10">
        <f t="shared" si="2"/>
        <v>-42366.510000000053</v>
      </c>
    </row>
    <row r="59" spans="10:15" x14ac:dyDescent="0.25">
      <c r="J59" s="11" t="s">
        <v>25</v>
      </c>
      <c r="K59" s="10">
        <f>Data!K4</f>
        <v>79262.510000000068</v>
      </c>
      <c r="L59" s="10">
        <f>Data!K39</f>
        <v>123453.93000000002</v>
      </c>
      <c r="M59" s="10">
        <f>Data!K21</f>
        <v>91434.559999999998</v>
      </c>
      <c r="N59" s="10">
        <f t="shared" si="2"/>
        <v>-32019.370000000024</v>
      </c>
    </row>
    <row r="60" spans="10:15" x14ac:dyDescent="0.25">
      <c r="J60" s="11" t="s">
        <v>26</v>
      </c>
      <c r="K60" s="10">
        <f>Data!L4</f>
        <v>90425.340000000055</v>
      </c>
      <c r="L60" s="10">
        <f>Data!L39</f>
        <v>163571.6</v>
      </c>
      <c r="M60" s="10">
        <f>Data!L21</f>
        <v>73575.100000000006</v>
      </c>
      <c r="N60" s="10">
        <f t="shared" si="2"/>
        <v>-89996.5</v>
      </c>
    </row>
    <row r="61" spans="10:15" x14ac:dyDescent="0.25">
      <c r="J61" s="11" t="s">
        <v>27</v>
      </c>
      <c r="K61" s="10">
        <f>Data!M4</f>
        <v>78374.920000000071</v>
      </c>
      <c r="L61" s="10">
        <f>Data!M39</f>
        <v>146743.45000000004</v>
      </c>
      <c r="M61" s="10">
        <f>Data!M21</f>
        <v>53668.398999999998</v>
      </c>
      <c r="N61" s="10">
        <f t="shared" si="2"/>
        <v>-93075.051000000036</v>
      </c>
    </row>
    <row r="62" spans="10:15" x14ac:dyDescent="0.25">
      <c r="J62" s="11" t="s">
        <v>28</v>
      </c>
      <c r="K62" s="10">
        <f>Data!N4</f>
        <v>145453.29000000012</v>
      </c>
      <c r="L62" s="10">
        <f>Data!N39</f>
        <v>209021.11000000002</v>
      </c>
      <c r="M62" s="10">
        <f>Data!N21</f>
        <v>129522.61</v>
      </c>
      <c r="N62" s="10">
        <f t="shared" si="2"/>
        <v>-79498.500000000015</v>
      </c>
    </row>
    <row r="63" spans="10:15" x14ac:dyDescent="0.25">
      <c r="J63" s="11" t="s">
        <v>29</v>
      </c>
      <c r="K63" s="10">
        <f>Data!O4</f>
        <v>139931.5800000001</v>
      </c>
      <c r="L63" s="10">
        <f>Data!O39</f>
        <v>201052.83000000005</v>
      </c>
      <c r="M63" s="10">
        <f>Data!O21</f>
        <v>70014.11</v>
      </c>
      <c r="N63" s="10">
        <f t="shared" si="2"/>
        <v>-131038.72000000004</v>
      </c>
      <c r="O63" t="s">
        <v>57</v>
      </c>
    </row>
    <row r="65" spans="10:14" x14ac:dyDescent="0.25">
      <c r="J65" t="s">
        <v>39</v>
      </c>
    </row>
    <row r="72" spans="10:14" ht="15" customHeight="1" x14ac:dyDescent="0.25">
      <c r="J72" s="30" t="s">
        <v>3</v>
      </c>
      <c r="K72" s="30" t="s">
        <v>0</v>
      </c>
      <c r="L72" s="31" t="s">
        <v>14</v>
      </c>
      <c r="M72" s="30" t="s">
        <v>13</v>
      </c>
      <c r="N72" s="30" t="s">
        <v>38</v>
      </c>
    </row>
    <row r="73" spans="10:14" x14ac:dyDescent="0.25">
      <c r="J73" s="30"/>
      <c r="K73" s="30"/>
      <c r="L73" s="31"/>
      <c r="M73" s="30"/>
      <c r="N73" s="30"/>
    </row>
    <row r="74" spans="10:14" x14ac:dyDescent="0.25">
      <c r="J74" s="11" t="s">
        <v>1</v>
      </c>
      <c r="K74" s="10">
        <f>Data!D5</f>
        <v>91045.05</v>
      </c>
      <c r="L74" s="10">
        <f>Data!D40</f>
        <v>91045.05</v>
      </c>
      <c r="M74" s="10">
        <f>Data!D22</f>
        <v>102458.82</v>
      </c>
      <c r="N74" s="10">
        <f t="shared" ref="N74:N85" si="3">IF(M74=0,"",IF(L74=0,M74-K74,M74-L74))</f>
        <v>11413.770000000004</v>
      </c>
    </row>
    <row r="75" spans="10:14" x14ac:dyDescent="0.25">
      <c r="J75" s="11" t="s">
        <v>19</v>
      </c>
      <c r="K75" s="10">
        <f>Data!E5</f>
        <v>96254.640000000014</v>
      </c>
      <c r="L75" s="10">
        <f>Data!E40</f>
        <v>96254.640000000014</v>
      </c>
      <c r="M75" s="10">
        <f>Data!E22</f>
        <v>108059.51</v>
      </c>
      <c r="N75" s="10">
        <f t="shared" si="3"/>
        <v>11804.869999999981</v>
      </c>
    </row>
    <row r="76" spans="10:14" x14ac:dyDescent="0.25">
      <c r="J76" s="11" t="s">
        <v>20</v>
      </c>
      <c r="K76" s="10">
        <f>Data!F5</f>
        <v>106863.01000000002</v>
      </c>
      <c r="L76" s="10">
        <f>Data!F40</f>
        <v>106863.01000000002</v>
      </c>
      <c r="M76" s="10">
        <f>Data!F22</f>
        <v>138014.71</v>
      </c>
      <c r="N76" s="10">
        <f t="shared" si="3"/>
        <v>31151.699999999968</v>
      </c>
    </row>
    <row r="77" spans="10:14" x14ac:dyDescent="0.25">
      <c r="J77" s="11" t="s">
        <v>21</v>
      </c>
      <c r="K77" s="10">
        <f>Data!G5</f>
        <v>96618.540000000008</v>
      </c>
      <c r="L77" s="10">
        <f>Data!G40</f>
        <v>96618.540000000008</v>
      </c>
      <c r="M77" s="10">
        <f>Data!G22</f>
        <v>101545.4</v>
      </c>
      <c r="N77" s="10">
        <f t="shared" si="3"/>
        <v>4926.859999999986</v>
      </c>
    </row>
    <row r="78" spans="10:14" x14ac:dyDescent="0.25">
      <c r="J78" s="11" t="s">
        <v>22</v>
      </c>
      <c r="K78" s="10">
        <f>Data!H5</f>
        <v>98509.560000000027</v>
      </c>
      <c r="L78" s="10">
        <f>Data!H40</f>
        <v>98509.560000000027</v>
      </c>
      <c r="M78" s="10">
        <f>Data!H22</f>
        <v>115340.51</v>
      </c>
      <c r="N78" s="10">
        <f t="shared" si="3"/>
        <v>16830.949999999968</v>
      </c>
    </row>
    <row r="79" spans="10:14" x14ac:dyDescent="0.25">
      <c r="J79" s="11" t="s">
        <v>23</v>
      </c>
      <c r="K79" s="10">
        <f>Data!I5</f>
        <v>89746.060000000027</v>
      </c>
      <c r="L79" s="10">
        <f>Data!I40</f>
        <v>89746.060000000027</v>
      </c>
      <c r="M79" s="10">
        <f>Data!I22</f>
        <v>112508.39</v>
      </c>
      <c r="N79" s="10">
        <f t="shared" si="3"/>
        <v>22762.329999999973</v>
      </c>
    </row>
    <row r="80" spans="10:14" x14ac:dyDescent="0.25">
      <c r="J80" s="11" t="s">
        <v>24</v>
      </c>
      <c r="K80" s="10">
        <f>Data!J5</f>
        <v>72295.270000000019</v>
      </c>
      <c r="L80" s="10">
        <f>Data!J40</f>
        <v>94797.780000000013</v>
      </c>
      <c r="M80" s="10">
        <f>Data!J22</f>
        <v>82473.67</v>
      </c>
      <c r="N80" s="10">
        <f t="shared" si="3"/>
        <v>-12324.110000000015</v>
      </c>
    </row>
    <row r="81" spans="10:15" x14ac:dyDescent="0.25">
      <c r="J81" s="11" t="s">
        <v>25</v>
      </c>
      <c r="K81" s="10">
        <f>Data!K5</f>
        <v>68495.660000000033</v>
      </c>
      <c r="L81" s="10">
        <f>Data!K40</f>
        <v>89501.500000000015</v>
      </c>
      <c r="M81" s="10">
        <f>Data!K22</f>
        <v>82617.600000000006</v>
      </c>
      <c r="N81" s="10">
        <f t="shared" si="3"/>
        <v>-6883.9000000000087</v>
      </c>
    </row>
    <row r="82" spans="10:15" x14ac:dyDescent="0.25">
      <c r="J82" s="11" t="s">
        <v>26</v>
      </c>
      <c r="K82" s="10">
        <f>Data!L5</f>
        <v>83769.530000000028</v>
      </c>
      <c r="L82" s="10">
        <f>Data!L40</f>
        <v>104547.95000000003</v>
      </c>
      <c r="M82" s="10">
        <f>Data!L22</f>
        <v>98766.06</v>
      </c>
      <c r="N82" s="10">
        <f t="shared" si="3"/>
        <v>-5781.8900000000285</v>
      </c>
    </row>
    <row r="83" spans="10:15" x14ac:dyDescent="0.25">
      <c r="J83" s="11" t="s">
        <v>27</v>
      </c>
      <c r="K83" s="10">
        <f>Data!M5</f>
        <v>78672.660000000033</v>
      </c>
      <c r="L83" s="10">
        <f>Data!M40</f>
        <v>99806.810000000012</v>
      </c>
      <c r="M83" s="10">
        <f>Data!M22</f>
        <v>83855.320000000007</v>
      </c>
      <c r="N83" s="10">
        <f t="shared" si="3"/>
        <v>-15951.490000000005</v>
      </c>
    </row>
    <row r="84" spans="10:15" x14ac:dyDescent="0.25">
      <c r="J84" s="11" t="s">
        <v>28</v>
      </c>
      <c r="K84" s="10">
        <f>Data!N5</f>
        <v>120193.52000000005</v>
      </c>
      <c r="L84" s="10">
        <f>Data!N40</f>
        <v>140684.49000000002</v>
      </c>
      <c r="M84" s="10">
        <f>Data!N22</f>
        <v>116239.61</v>
      </c>
      <c r="N84" s="10">
        <f t="shared" si="3"/>
        <v>-24444.880000000019</v>
      </c>
    </row>
    <row r="85" spans="10:15" x14ac:dyDescent="0.25">
      <c r="J85" s="11" t="s">
        <v>29</v>
      </c>
      <c r="K85" s="10">
        <f>Data!O5</f>
        <v>110068.59000000004</v>
      </c>
      <c r="L85" s="10">
        <f>Data!O40</f>
        <v>128103.87000000001</v>
      </c>
      <c r="M85" s="10">
        <f>Data!O22</f>
        <v>88324.56</v>
      </c>
      <c r="N85" s="10">
        <f t="shared" si="3"/>
        <v>-39779.310000000012</v>
      </c>
      <c r="O85" t="s">
        <v>58</v>
      </c>
    </row>
    <row r="87" spans="10:15" x14ac:dyDescent="0.25">
      <c r="J87" t="s">
        <v>39</v>
      </c>
    </row>
    <row r="94" spans="10:15" ht="15" customHeight="1" x14ac:dyDescent="0.25">
      <c r="J94" s="31" t="s">
        <v>33</v>
      </c>
      <c r="K94" s="30" t="s">
        <v>0</v>
      </c>
      <c r="L94" s="31" t="s">
        <v>14</v>
      </c>
      <c r="M94" s="30" t="s">
        <v>13</v>
      </c>
      <c r="N94" s="30" t="s">
        <v>18</v>
      </c>
    </row>
    <row r="95" spans="10:15" x14ac:dyDescent="0.25">
      <c r="J95" s="31"/>
      <c r="K95" s="30"/>
      <c r="L95" s="31"/>
      <c r="M95" s="30"/>
      <c r="N95" s="30"/>
    </row>
    <row r="96" spans="10:15" x14ac:dyDescent="0.25">
      <c r="J96" s="11" t="s">
        <v>1</v>
      </c>
      <c r="K96" s="10">
        <f>Data!D6</f>
        <v>190542.39999999997</v>
      </c>
      <c r="L96" s="10">
        <f>Data!D41</f>
        <v>190542.39999999997</v>
      </c>
      <c r="M96" s="10">
        <f>Data!D23</f>
        <v>209540.64</v>
      </c>
      <c r="N96" s="10">
        <f t="shared" ref="N96:N107" si="4">IF(M96=0,"",IF(L96=0,M96-K96,M96-L96))</f>
        <v>18998.240000000049</v>
      </c>
    </row>
    <row r="97" spans="10:14" x14ac:dyDescent="0.25">
      <c r="J97" s="11" t="s">
        <v>19</v>
      </c>
      <c r="K97" s="10">
        <f>Data!E6</f>
        <v>169645.01999999996</v>
      </c>
      <c r="L97" s="10">
        <f>Data!E41</f>
        <v>169645.01999999996</v>
      </c>
      <c r="M97" s="10">
        <f>Data!E23</f>
        <v>286235.65999999997</v>
      </c>
      <c r="N97" s="10">
        <f t="shared" si="4"/>
        <v>116590.64000000001</v>
      </c>
    </row>
    <row r="98" spans="10:14" x14ac:dyDescent="0.25">
      <c r="J98" s="11" t="s">
        <v>20</v>
      </c>
      <c r="K98" s="10">
        <f>Data!F6</f>
        <v>174259.01999999996</v>
      </c>
      <c r="L98" s="10">
        <f>Data!F41</f>
        <v>174259.01999999996</v>
      </c>
      <c r="M98" s="10">
        <f>Data!F23</f>
        <v>227845.42</v>
      </c>
      <c r="N98" s="10">
        <f t="shared" si="4"/>
        <v>53586.400000000052</v>
      </c>
    </row>
    <row r="99" spans="10:14" x14ac:dyDescent="0.25">
      <c r="J99" s="11" t="s">
        <v>21</v>
      </c>
      <c r="K99" s="10">
        <f>Data!G6</f>
        <v>151363.63999999996</v>
      </c>
      <c r="L99" s="10">
        <f>Data!G41</f>
        <v>151363.63999999996</v>
      </c>
      <c r="M99" s="10">
        <f>Data!G23</f>
        <v>202070.48</v>
      </c>
      <c r="N99" s="10">
        <f t="shared" si="4"/>
        <v>50706.840000000055</v>
      </c>
    </row>
    <row r="100" spans="10:14" x14ac:dyDescent="0.25">
      <c r="J100" s="11" t="s">
        <v>22</v>
      </c>
      <c r="K100" s="10">
        <f>Data!H6</f>
        <v>138011.12</v>
      </c>
      <c r="L100" s="10">
        <f>Data!H41</f>
        <v>138011.12</v>
      </c>
      <c r="M100" s="10">
        <f>Data!H23</f>
        <v>208728.86</v>
      </c>
      <c r="N100" s="10">
        <f t="shared" si="4"/>
        <v>70717.739999999991</v>
      </c>
    </row>
    <row r="101" spans="10:14" x14ac:dyDescent="0.25">
      <c r="J101" s="11" t="s">
        <v>23</v>
      </c>
      <c r="K101" s="10">
        <f>Data!I6</f>
        <v>113666.18</v>
      </c>
      <c r="L101" s="10">
        <f>Data!I41</f>
        <v>113666.18</v>
      </c>
      <c r="M101" s="10">
        <f>Data!I23</f>
        <v>175307.76</v>
      </c>
      <c r="N101" s="10">
        <f t="shared" si="4"/>
        <v>61641.580000000016</v>
      </c>
    </row>
    <row r="102" spans="10:14" x14ac:dyDescent="0.25">
      <c r="J102" s="11" t="s">
        <v>24</v>
      </c>
      <c r="K102" s="10">
        <f>Data!J6</f>
        <v>82126.069999999949</v>
      </c>
      <c r="L102" s="10">
        <f>Data!J41</f>
        <v>134152.57</v>
      </c>
      <c r="M102" s="10">
        <f>Data!J23</f>
        <v>106929.32</v>
      </c>
      <c r="N102" s="10">
        <f t="shared" si="4"/>
        <v>-27223.25</v>
      </c>
    </row>
    <row r="103" spans="10:14" x14ac:dyDescent="0.25">
      <c r="J103" s="11" t="s">
        <v>25</v>
      </c>
      <c r="K103" s="10">
        <f>Data!K6</f>
        <v>108515.80999999994</v>
      </c>
      <c r="L103" s="10">
        <f>Data!K41</f>
        <v>158673.71999999997</v>
      </c>
      <c r="M103" s="10">
        <f>Data!K23</f>
        <v>98854.17</v>
      </c>
      <c r="N103" s="10">
        <f t="shared" si="4"/>
        <v>-59819.549999999974</v>
      </c>
    </row>
    <row r="104" spans="10:14" x14ac:dyDescent="0.25">
      <c r="J104" s="11" t="s">
        <v>26</v>
      </c>
      <c r="K104" s="10">
        <f>Data!L6</f>
        <v>116963.56999999989</v>
      </c>
      <c r="L104" s="10">
        <f>Data!L41</f>
        <v>162050.63</v>
      </c>
      <c r="M104" s="10">
        <f>Data!L23</f>
        <v>159664.21</v>
      </c>
      <c r="N104" s="10">
        <f t="shared" si="4"/>
        <v>-2386.4200000000128</v>
      </c>
    </row>
    <row r="105" spans="10:14" x14ac:dyDescent="0.25">
      <c r="J105" s="11" t="s">
        <v>27</v>
      </c>
      <c r="K105" s="10">
        <f>Data!M6</f>
        <v>109069.06999999989</v>
      </c>
      <c r="L105" s="10">
        <f>Data!M41</f>
        <v>159886.32</v>
      </c>
      <c r="M105" s="10">
        <f>Data!M23</f>
        <v>120983.52</v>
      </c>
      <c r="N105" s="10">
        <f t="shared" si="4"/>
        <v>-38902.800000000003</v>
      </c>
    </row>
    <row r="106" spans="10:14" x14ac:dyDescent="0.25">
      <c r="J106" s="11" t="s">
        <v>28</v>
      </c>
      <c r="K106" s="10">
        <f>Data!N6</f>
        <v>208353.10999999987</v>
      </c>
      <c r="L106" s="10">
        <f>Data!N41</f>
        <v>259186.43000000011</v>
      </c>
      <c r="M106" s="10">
        <f>Data!N23</f>
        <v>233590.44</v>
      </c>
      <c r="N106" s="10">
        <f t="shared" si="4"/>
        <v>-25595.990000000107</v>
      </c>
    </row>
    <row r="107" spans="10:14" x14ac:dyDescent="0.25">
      <c r="J107" s="11" t="s">
        <v>29</v>
      </c>
      <c r="K107" s="10">
        <f>Data!O6</f>
        <v>195435.37999999989</v>
      </c>
      <c r="L107" s="10">
        <f>Data!O41</f>
        <v>243748.87000000014</v>
      </c>
      <c r="M107" s="10">
        <f>Data!O23</f>
        <v>174140.54</v>
      </c>
      <c r="N107" s="10">
        <f t="shared" si="4"/>
        <v>-69608.330000000133</v>
      </c>
    </row>
    <row r="109" spans="10:14" x14ac:dyDescent="0.25">
      <c r="J109" t="s">
        <v>39</v>
      </c>
    </row>
    <row r="116" spans="10:14" ht="15" customHeight="1" x14ac:dyDescent="0.25">
      <c r="J116" s="31" t="s">
        <v>5</v>
      </c>
      <c r="K116" s="30" t="s">
        <v>0</v>
      </c>
      <c r="L116" s="31" t="s">
        <v>14</v>
      </c>
      <c r="M116" s="30" t="s">
        <v>13</v>
      </c>
      <c r="N116" s="30" t="s">
        <v>38</v>
      </c>
    </row>
    <row r="117" spans="10:14" x14ac:dyDescent="0.25">
      <c r="J117" s="31"/>
      <c r="K117" s="30"/>
      <c r="L117" s="31"/>
      <c r="M117" s="30"/>
      <c r="N117" s="30"/>
    </row>
    <row r="118" spans="10:14" x14ac:dyDescent="0.25">
      <c r="J118" s="11" t="s">
        <v>1</v>
      </c>
      <c r="K118" s="10">
        <f>Data!D7</f>
        <v>105464.81999999999</v>
      </c>
      <c r="L118" s="10">
        <f>Data!D42</f>
        <v>105464.81999999999</v>
      </c>
      <c r="M118" s="10">
        <f>Data!D24</f>
        <v>120282.14</v>
      </c>
      <c r="N118" s="10">
        <f t="shared" ref="N118:N129" si="5">IF(M118=0,"",IF(L118=0,M118-K118,M118-L118))</f>
        <v>14817.320000000007</v>
      </c>
    </row>
    <row r="119" spans="10:14" x14ac:dyDescent="0.25">
      <c r="J119" s="11" t="s">
        <v>19</v>
      </c>
      <c r="K119" s="10">
        <f>Data!E7</f>
        <v>102813.5</v>
      </c>
      <c r="L119" s="10">
        <f>Data!E42</f>
        <v>102813.5</v>
      </c>
      <c r="M119" s="10">
        <f>Data!E24</f>
        <v>112184.85</v>
      </c>
      <c r="N119" s="10">
        <f t="shared" si="5"/>
        <v>9371.3500000000058</v>
      </c>
    </row>
    <row r="120" spans="10:14" x14ac:dyDescent="0.25">
      <c r="J120" s="11" t="s">
        <v>20</v>
      </c>
      <c r="K120" s="10">
        <f>Data!F7</f>
        <v>104906.28999999998</v>
      </c>
      <c r="L120" s="10">
        <f>Data!F42</f>
        <v>104906.28999999998</v>
      </c>
      <c r="M120" s="10">
        <f>Data!F24</f>
        <v>115726.73</v>
      </c>
      <c r="N120" s="10">
        <f t="shared" si="5"/>
        <v>10820.440000000017</v>
      </c>
    </row>
    <row r="121" spans="10:14" x14ac:dyDescent="0.25">
      <c r="J121" s="11" t="s">
        <v>21</v>
      </c>
      <c r="K121" s="10">
        <f>Data!G7</f>
        <v>99140.449999999968</v>
      </c>
      <c r="L121" s="10">
        <f>Data!G42</f>
        <v>99140.449999999968</v>
      </c>
      <c r="M121" s="10">
        <f>Data!G24</f>
        <v>117926.54</v>
      </c>
      <c r="N121" s="10">
        <f t="shared" si="5"/>
        <v>18786.090000000026</v>
      </c>
    </row>
    <row r="122" spans="10:14" x14ac:dyDescent="0.25">
      <c r="J122" s="11" t="s">
        <v>22</v>
      </c>
      <c r="K122" s="10">
        <f>Data!H7</f>
        <v>96941.109999999971</v>
      </c>
      <c r="L122" s="10">
        <f>Data!H42</f>
        <v>96941.109999999971</v>
      </c>
      <c r="M122" s="10">
        <f>Data!H24</f>
        <v>129059.9</v>
      </c>
      <c r="N122" s="10">
        <f t="shared" si="5"/>
        <v>32118.790000000023</v>
      </c>
    </row>
    <row r="123" spans="10:14" x14ac:dyDescent="0.25">
      <c r="J123" s="11" t="s">
        <v>23</v>
      </c>
      <c r="K123" s="10">
        <f>Data!I7</f>
        <v>106938.41999999997</v>
      </c>
      <c r="L123" s="10">
        <f>Data!I42</f>
        <v>106938.41999999997</v>
      </c>
      <c r="M123" s="10">
        <f>Data!I24</f>
        <v>133541.26</v>
      </c>
      <c r="N123" s="10">
        <f t="shared" si="5"/>
        <v>26602.84000000004</v>
      </c>
    </row>
    <row r="124" spans="10:14" x14ac:dyDescent="0.25">
      <c r="J124" s="11" t="s">
        <v>24</v>
      </c>
      <c r="K124" s="10">
        <f>Data!J7</f>
        <v>107823.48999999999</v>
      </c>
      <c r="L124" s="10">
        <f>Data!J42</f>
        <v>134425.36000000002</v>
      </c>
      <c r="M124" s="10">
        <f>Data!J24</f>
        <v>128833.8</v>
      </c>
      <c r="N124" s="10">
        <f t="shared" si="5"/>
        <v>-5591.5600000000122</v>
      </c>
    </row>
    <row r="125" spans="10:14" x14ac:dyDescent="0.25">
      <c r="J125" s="11" t="s">
        <v>25</v>
      </c>
      <c r="K125" s="10">
        <f>Data!K7</f>
        <v>101914.56999999998</v>
      </c>
      <c r="L125" s="10">
        <f>Data!K42</f>
        <v>128430.58000000002</v>
      </c>
      <c r="M125" s="10">
        <f>Data!K24</f>
        <v>181839.17</v>
      </c>
      <c r="N125" s="10">
        <f t="shared" si="5"/>
        <v>53408.59</v>
      </c>
    </row>
    <row r="126" spans="10:14" x14ac:dyDescent="0.25">
      <c r="J126" s="11" t="s">
        <v>26</v>
      </c>
      <c r="K126" s="10">
        <f>Data!L7</f>
        <v>111461.84999999998</v>
      </c>
      <c r="L126" s="10">
        <f>Data!L42</f>
        <v>137892</v>
      </c>
      <c r="M126" s="10">
        <f>Data!L24</f>
        <v>168751.38</v>
      </c>
      <c r="N126" s="10">
        <f t="shared" si="5"/>
        <v>30859.380000000005</v>
      </c>
    </row>
    <row r="127" spans="10:14" x14ac:dyDescent="0.25">
      <c r="J127" s="11" t="s">
        <v>27</v>
      </c>
      <c r="K127" s="10">
        <f>Data!M7</f>
        <v>95685.779999999955</v>
      </c>
      <c r="L127" s="10">
        <f>Data!M42</f>
        <v>122030.06999999998</v>
      </c>
      <c r="M127" s="10">
        <f>Data!M24</f>
        <v>185664.49</v>
      </c>
      <c r="N127" s="10">
        <f t="shared" si="5"/>
        <v>63634.420000000013</v>
      </c>
    </row>
    <row r="128" spans="10:14" x14ac:dyDescent="0.25">
      <c r="J128" s="11" t="s">
        <v>28</v>
      </c>
      <c r="K128" s="10">
        <f>Data!N7</f>
        <v>133292.39999999997</v>
      </c>
      <c r="L128" s="10">
        <f>Data!N42</f>
        <v>159550.84</v>
      </c>
      <c r="M128" s="10">
        <f>Data!N24</f>
        <v>179726.67</v>
      </c>
      <c r="N128" s="10">
        <f t="shared" si="5"/>
        <v>20175.830000000016</v>
      </c>
    </row>
    <row r="129" spans="10:14" x14ac:dyDescent="0.25">
      <c r="J129" s="11" t="s">
        <v>29</v>
      </c>
      <c r="K129" s="10">
        <f>Data!O7</f>
        <v>126007.07999999996</v>
      </c>
      <c r="L129" s="10">
        <f>Data!O42</f>
        <v>152177.35999999999</v>
      </c>
      <c r="M129" s="10">
        <f>Data!O24</f>
        <v>169822.11</v>
      </c>
      <c r="N129" s="10">
        <f t="shared" si="5"/>
        <v>17644.75</v>
      </c>
    </row>
    <row r="131" spans="10:14" x14ac:dyDescent="0.25">
      <c r="J131" t="s">
        <v>39</v>
      </c>
    </row>
    <row r="138" spans="10:14" ht="15" customHeight="1" x14ac:dyDescent="0.25">
      <c r="J138" s="31" t="s">
        <v>6</v>
      </c>
      <c r="K138" s="30" t="s">
        <v>0</v>
      </c>
      <c r="L138" s="31" t="s">
        <v>14</v>
      </c>
      <c r="M138" s="30" t="s">
        <v>13</v>
      </c>
      <c r="N138" s="30" t="s">
        <v>38</v>
      </c>
    </row>
    <row r="139" spans="10:14" x14ac:dyDescent="0.25">
      <c r="J139" s="31"/>
      <c r="K139" s="30"/>
      <c r="L139" s="31"/>
      <c r="M139" s="30"/>
      <c r="N139" s="30"/>
    </row>
    <row r="140" spans="10:14" x14ac:dyDescent="0.25">
      <c r="J140" s="11" t="s">
        <v>1</v>
      </c>
      <c r="K140" s="10">
        <f>Data!D8</f>
        <v>201698.46000000002</v>
      </c>
      <c r="L140" s="10">
        <f>Data!D43</f>
        <v>201698.46000000002</v>
      </c>
      <c r="M140" s="10">
        <f>Data!D25</f>
        <v>211082.39</v>
      </c>
      <c r="N140" s="10">
        <f t="shared" ref="N140:N151" si="6">IF(M140=0,"",IF(L140=0,M140-K140,M140-L140))</f>
        <v>9383.929999999993</v>
      </c>
    </row>
    <row r="141" spans="10:14" x14ac:dyDescent="0.25">
      <c r="J141" s="11" t="s">
        <v>19</v>
      </c>
      <c r="K141" s="10">
        <f>Data!E8</f>
        <v>208621.47000000003</v>
      </c>
      <c r="L141" s="10">
        <f>Data!E43</f>
        <v>208621.47000000003</v>
      </c>
      <c r="M141" s="10">
        <f>Data!E25</f>
        <v>239412.94</v>
      </c>
      <c r="N141" s="10">
        <f t="shared" si="6"/>
        <v>30791.469999999972</v>
      </c>
    </row>
    <row r="142" spans="10:14" x14ac:dyDescent="0.25">
      <c r="J142" s="11" t="s">
        <v>20</v>
      </c>
      <c r="K142" s="10">
        <f>Data!F8</f>
        <v>208638.39</v>
      </c>
      <c r="L142" s="10">
        <f>Data!F43</f>
        <v>208638.39</v>
      </c>
      <c r="M142" s="10">
        <f>Data!F25</f>
        <v>227873.19999999998</v>
      </c>
      <c r="N142" s="10">
        <f t="shared" si="6"/>
        <v>19234.809999999969</v>
      </c>
    </row>
    <row r="143" spans="10:14" x14ac:dyDescent="0.25">
      <c r="J143" s="11" t="s">
        <v>21</v>
      </c>
      <c r="K143" s="10">
        <f>Data!G8</f>
        <v>199040.48</v>
      </c>
      <c r="L143" s="10">
        <f>Data!G43</f>
        <v>199040.48</v>
      </c>
      <c r="M143" s="10">
        <f>Data!G25</f>
        <v>217067.81</v>
      </c>
      <c r="N143" s="10">
        <f t="shared" si="6"/>
        <v>18027.329999999987</v>
      </c>
    </row>
    <row r="144" spans="10:14" x14ac:dyDescent="0.25">
      <c r="J144" s="11" t="s">
        <v>22</v>
      </c>
      <c r="K144" s="10">
        <f>Data!H8</f>
        <v>209531.47000000003</v>
      </c>
      <c r="L144" s="10">
        <f>Data!H43</f>
        <v>209531.47000000003</v>
      </c>
      <c r="M144" s="10">
        <f>Data!H25</f>
        <v>224766.64</v>
      </c>
      <c r="N144" s="10">
        <f t="shared" si="6"/>
        <v>15235.169999999984</v>
      </c>
    </row>
    <row r="145" spans="10:14" x14ac:dyDescent="0.25">
      <c r="J145" s="11" t="s">
        <v>23</v>
      </c>
      <c r="K145" s="10">
        <f>Data!I8</f>
        <v>199008.35000000003</v>
      </c>
      <c r="L145" s="10">
        <f>Data!I43</f>
        <v>199008.35000000003</v>
      </c>
      <c r="M145" s="10">
        <f>Data!I25</f>
        <v>216117.28</v>
      </c>
      <c r="N145" s="10">
        <f t="shared" si="6"/>
        <v>17108.929999999964</v>
      </c>
    </row>
    <row r="146" spans="10:14" x14ac:dyDescent="0.25">
      <c r="J146" s="11" t="s">
        <v>24</v>
      </c>
      <c r="K146" s="10">
        <f>Data!J8</f>
        <v>181756.28999999998</v>
      </c>
      <c r="L146" s="10">
        <f>Data!J43</f>
        <v>210454.22</v>
      </c>
      <c r="M146" s="10">
        <f>Data!J25</f>
        <v>186037</v>
      </c>
      <c r="N146" s="10">
        <f t="shared" si="6"/>
        <v>-24417.22</v>
      </c>
    </row>
    <row r="147" spans="10:14" x14ac:dyDescent="0.25">
      <c r="J147" s="11" t="s">
        <v>25</v>
      </c>
      <c r="K147" s="10">
        <f>Data!K8</f>
        <v>189260.94999999995</v>
      </c>
      <c r="L147" s="10">
        <f>Data!K43</f>
        <v>222704.96</v>
      </c>
      <c r="M147" s="10">
        <f>Data!K25</f>
        <v>190512.16</v>
      </c>
      <c r="N147" s="10">
        <f t="shared" si="6"/>
        <v>-32192.799999999988</v>
      </c>
    </row>
    <row r="148" spans="10:14" x14ac:dyDescent="0.25">
      <c r="J148" s="11" t="s">
        <v>26</v>
      </c>
      <c r="K148" s="10">
        <f>Data!L8</f>
        <v>191007.59999999998</v>
      </c>
      <c r="L148" s="10">
        <f>Data!L43</f>
        <v>214117.59999999998</v>
      </c>
      <c r="M148" s="10">
        <f>Data!L25</f>
        <v>216763.57</v>
      </c>
      <c r="N148" s="10">
        <f t="shared" si="6"/>
        <v>2645.9700000000303</v>
      </c>
    </row>
    <row r="149" spans="10:14" x14ac:dyDescent="0.25">
      <c r="J149" s="11" t="s">
        <v>27</v>
      </c>
      <c r="K149" s="10">
        <f>Data!M8</f>
        <v>186538.81999999998</v>
      </c>
      <c r="L149" s="10">
        <f>Data!M43</f>
        <v>214493.06</v>
      </c>
      <c r="M149" s="10">
        <f>Data!M25</f>
        <v>209406.92</v>
      </c>
      <c r="N149" s="10">
        <f t="shared" si="6"/>
        <v>-5086.1399999999849</v>
      </c>
    </row>
    <row r="150" spans="10:14" x14ac:dyDescent="0.25">
      <c r="J150" s="11" t="s">
        <v>28</v>
      </c>
      <c r="K150" s="10">
        <f>Data!N8</f>
        <v>224911.99</v>
      </c>
      <c r="L150" s="10">
        <f>Data!N43</f>
        <v>252304.4</v>
      </c>
      <c r="M150" s="10">
        <f>Data!N25</f>
        <v>250100.6</v>
      </c>
      <c r="N150" s="10">
        <f t="shared" si="6"/>
        <v>-2203.7999999999884</v>
      </c>
    </row>
    <row r="151" spans="10:14" x14ac:dyDescent="0.25">
      <c r="J151" s="11" t="s">
        <v>29</v>
      </c>
      <c r="K151" s="10">
        <f>Data!O8</f>
        <v>211465.41000000003</v>
      </c>
      <c r="L151" s="10">
        <f>Data!O43</f>
        <v>242836.90999999997</v>
      </c>
      <c r="M151" s="10">
        <f>Data!O25</f>
        <v>239449.31</v>
      </c>
      <c r="N151" s="10">
        <f t="shared" si="6"/>
        <v>-3387.5999999999767</v>
      </c>
    </row>
    <row r="153" spans="10:14" x14ac:dyDescent="0.25">
      <c r="J153" t="s">
        <v>39</v>
      </c>
    </row>
    <row r="160" spans="10:14" ht="15" customHeight="1" x14ac:dyDescent="0.25">
      <c r="J160" s="31" t="s">
        <v>32</v>
      </c>
      <c r="K160" s="30" t="s">
        <v>0</v>
      </c>
      <c r="L160" s="31" t="s">
        <v>14</v>
      </c>
      <c r="M160" s="30" t="s">
        <v>13</v>
      </c>
      <c r="N160" s="30" t="s">
        <v>38</v>
      </c>
    </row>
    <row r="161" spans="10:16" x14ac:dyDescent="0.25">
      <c r="J161" s="31"/>
      <c r="K161" s="30"/>
      <c r="L161" s="31"/>
      <c r="M161" s="30"/>
      <c r="N161" s="30"/>
    </row>
    <row r="162" spans="10:16" x14ac:dyDescent="0.25">
      <c r="J162" s="11" t="s">
        <v>1</v>
      </c>
      <c r="K162" s="10">
        <f>Data!D9</f>
        <v>52963.550000000017</v>
      </c>
      <c r="L162" s="10">
        <f>Data!D44</f>
        <v>52963.550000000017</v>
      </c>
      <c r="M162" s="10">
        <f>Data!D26</f>
        <v>89155.87</v>
      </c>
      <c r="N162" s="10">
        <f t="shared" ref="N162:N173" si="7">IF(M162=0,"",IF(L162=0,M162-K162,M162-L162))</f>
        <v>36192.319999999978</v>
      </c>
    </row>
    <row r="163" spans="10:16" x14ac:dyDescent="0.25">
      <c r="J163" s="11" t="s">
        <v>19</v>
      </c>
      <c r="K163" s="10">
        <f>Data!E9</f>
        <v>84763.260000000068</v>
      </c>
      <c r="L163" s="10">
        <f>Data!E44</f>
        <v>84763.260000000068</v>
      </c>
      <c r="M163" s="10">
        <f>Data!E26</f>
        <v>130642.37</v>
      </c>
      <c r="N163" s="10">
        <f t="shared" si="7"/>
        <v>45879.109999999928</v>
      </c>
    </row>
    <row r="164" spans="10:16" x14ac:dyDescent="0.25">
      <c r="J164" s="11" t="s">
        <v>20</v>
      </c>
      <c r="K164" s="10">
        <f>Data!F9</f>
        <v>85571.780000000072</v>
      </c>
      <c r="L164" s="10">
        <f>Data!F44</f>
        <v>85571.780000000072</v>
      </c>
      <c r="M164" s="10">
        <f>Data!F26</f>
        <v>91564.109999999986</v>
      </c>
      <c r="N164" s="10">
        <f t="shared" si="7"/>
        <v>5992.3299999999144</v>
      </c>
    </row>
    <row r="165" spans="10:16" x14ac:dyDescent="0.25">
      <c r="J165" s="11" t="s">
        <v>21</v>
      </c>
      <c r="K165" s="10">
        <f>Data!G9</f>
        <v>64199.140000000043</v>
      </c>
      <c r="L165" s="10">
        <f>Data!G44</f>
        <v>64199.140000000043</v>
      </c>
      <c r="M165" s="10">
        <f>Data!G26</f>
        <v>2088.8300000000017</v>
      </c>
      <c r="N165" s="10">
        <f t="shared" si="7"/>
        <v>-62110.310000000041</v>
      </c>
    </row>
    <row r="166" spans="10:16" x14ac:dyDescent="0.25">
      <c r="J166" s="11" t="s">
        <v>22</v>
      </c>
      <c r="K166" s="10">
        <f>Data!H9</f>
        <v>67718.730000000069</v>
      </c>
      <c r="L166" s="10">
        <f>Data!H44</f>
        <v>67718.730000000069</v>
      </c>
      <c r="M166" s="10">
        <f>Data!H26</f>
        <v>122918.19</v>
      </c>
      <c r="N166" s="10">
        <f t="shared" si="7"/>
        <v>55199.459999999934</v>
      </c>
    </row>
    <row r="167" spans="10:16" x14ac:dyDescent="0.25">
      <c r="J167" s="11" t="s">
        <v>23</v>
      </c>
      <c r="K167" s="10">
        <f>Data!I9</f>
        <v>81348.140000000087</v>
      </c>
      <c r="L167" s="10">
        <f>Data!I44</f>
        <v>81348.140000000087</v>
      </c>
      <c r="M167" s="10">
        <f>Data!I26</f>
        <v>88244.78</v>
      </c>
      <c r="N167" s="10">
        <f t="shared" si="7"/>
        <v>6896.6399999999121</v>
      </c>
    </row>
    <row r="168" spans="10:16" x14ac:dyDescent="0.25">
      <c r="J168" s="11" t="s">
        <v>24</v>
      </c>
      <c r="K168" s="10">
        <f>Data!J9</f>
        <v>53741.45000000007</v>
      </c>
      <c r="L168" s="10">
        <f>Data!J44</f>
        <v>30936.869999999937</v>
      </c>
      <c r="M168" s="10">
        <f>Data!J26</f>
        <v>59399.9</v>
      </c>
      <c r="N168" s="10">
        <f t="shared" si="7"/>
        <v>28463.030000000064</v>
      </c>
    </row>
    <row r="169" spans="10:16" x14ac:dyDescent="0.25">
      <c r="J169" s="11" t="s">
        <v>25</v>
      </c>
      <c r="K169" s="10">
        <f>Data!K9</f>
        <v>62158.640000000072</v>
      </c>
      <c r="L169" s="10">
        <f>Data!K44</f>
        <v>51904.769999999931</v>
      </c>
      <c r="M169" s="10">
        <f>Data!K26</f>
        <v>46586.9</v>
      </c>
      <c r="N169" s="10">
        <f t="shared" si="7"/>
        <v>-5317.8699999999299</v>
      </c>
    </row>
    <row r="170" spans="10:16" x14ac:dyDescent="0.25">
      <c r="J170" s="11" t="s">
        <v>26</v>
      </c>
      <c r="K170" s="10">
        <f>Data!L9</f>
        <v>65479.010000000068</v>
      </c>
      <c r="L170" s="10">
        <f>Data!L44</f>
        <v>57363.739999999932</v>
      </c>
      <c r="M170" s="10">
        <f>Data!L26</f>
        <v>77483.72</v>
      </c>
      <c r="N170" s="10">
        <f t="shared" si="7"/>
        <v>20119.980000000069</v>
      </c>
    </row>
    <row r="171" spans="10:16" x14ac:dyDescent="0.25">
      <c r="J171" s="11" t="s">
        <v>27</v>
      </c>
      <c r="K171" s="10">
        <f>Data!M9</f>
        <v>36501.860000000073</v>
      </c>
      <c r="L171" s="10">
        <f>Data!M44</f>
        <v>12975.099999999919</v>
      </c>
      <c r="M171" s="10">
        <f>Data!M26</f>
        <v>74574.149999999994</v>
      </c>
      <c r="N171" s="10">
        <f t="shared" si="7"/>
        <v>61599.050000000076</v>
      </c>
    </row>
    <row r="172" spans="10:16" x14ac:dyDescent="0.25">
      <c r="J172" s="11" t="s">
        <v>28</v>
      </c>
      <c r="K172" s="10">
        <f>Data!N9</f>
        <v>124590.39000000004</v>
      </c>
      <c r="L172" s="10">
        <f>Data!N44</f>
        <v>96967.609999999899</v>
      </c>
      <c r="M172" s="10">
        <f>Data!N26</f>
        <v>127872.38</v>
      </c>
      <c r="N172" s="10">
        <f t="shared" si="7"/>
        <v>30904.770000000106</v>
      </c>
    </row>
    <row r="173" spans="10:16" x14ac:dyDescent="0.25">
      <c r="J173" s="11" t="s">
        <v>29</v>
      </c>
      <c r="K173" s="10">
        <f>Data!O9</f>
        <v>109907.25000000003</v>
      </c>
      <c r="L173" s="10">
        <f>Data!O44</f>
        <v>89340.379999999917</v>
      </c>
      <c r="M173" s="10">
        <f>Data!O26</f>
        <v>41630.269999999997</v>
      </c>
      <c r="N173" s="10">
        <f t="shared" si="7"/>
        <v>-47710.109999999921</v>
      </c>
      <c r="O173" t="s">
        <v>54</v>
      </c>
    </row>
    <row r="174" spans="10:16" x14ac:dyDescent="0.25">
      <c r="P174" s="5"/>
    </row>
    <row r="175" spans="10:16" x14ac:dyDescent="0.25">
      <c r="J175" t="s">
        <v>39</v>
      </c>
    </row>
    <row r="182" spans="10:14" ht="15" customHeight="1" x14ac:dyDescent="0.25">
      <c r="J182" s="31" t="s">
        <v>31</v>
      </c>
      <c r="K182" s="30" t="s">
        <v>0</v>
      </c>
      <c r="L182" s="31" t="s">
        <v>14</v>
      </c>
      <c r="M182" s="30" t="s">
        <v>13</v>
      </c>
      <c r="N182" s="30" t="s">
        <v>38</v>
      </c>
    </row>
    <row r="183" spans="10:14" x14ac:dyDescent="0.25">
      <c r="J183" s="31"/>
      <c r="K183" s="30"/>
      <c r="L183" s="31"/>
      <c r="M183" s="30"/>
      <c r="N183" s="30"/>
    </row>
    <row r="184" spans="10:14" x14ac:dyDescent="0.25">
      <c r="J184" s="11" t="s">
        <v>1</v>
      </c>
      <c r="K184" s="10">
        <f>Data!D10</f>
        <v>294708.13999999996</v>
      </c>
      <c r="L184" s="10">
        <f>Data!D45</f>
        <v>294708.13999999996</v>
      </c>
      <c r="M184" s="10">
        <f>Data!D27</f>
        <v>280957.46999999997</v>
      </c>
      <c r="N184" s="10">
        <f t="shared" ref="N184:N195" si="8">IF(M184=0,"",IF(L184=0,M184-K184,M184-L184))</f>
        <v>-13750.669999999984</v>
      </c>
    </row>
    <row r="185" spans="10:14" x14ac:dyDescent="0.25">
      <c r="J185" s="11" t="s">
        <v>19</v>
      </c>
      <c r="K185" s="10">
        <f>Data!E10</f>
        <v>307831.44999999995</v>
      </c>
      <c r="L185" s="10">
        <f>Data!E45</f>
        <v>307831.44999999995</v>
      </c>
      <c r="M185" s="10">
        <f>Data!E27</f>
        <v>466514.26</v>
      </c>
      <c r="N185" s="10">
        <f t="shared" si="8"/>
        <v>158682.81000000006</v>
      </c>
    </row>
    <row r="186" spans="10:14" x14ac:dyDescent="0.25">
      <c r="J186" s="11" t="s">
        <v>20</v>
      </c>
      <c r="K186" s="10">
        <f>Data!F10</f>
        <v>307221.39999999991</v>
      </c>
      <c r="L186" s="10">
        <f>Data!F45</f>
        <v>307221.39999999991</v>
      </c>
      <c r="M186" s="10">
        <f>Data!F27</f>
        <v>443196.34</v>
      </c>
      <c r="N186" s="10">
        <f t="shared" si="8"/>
        <v>135974.94000000012</v>
      </c>
    </row>
    <row r="187" spans="10:14" x14ac:dyDescent="0.25">
      <c r="J187" s="11" t="s">
        <v>21</v>
      </c>
      <c r="K187" s="10">
        <f>Data!G10</f>
        <v>288986.93999999994</v>
      </c>
      <c r="L187" s="10">
        <f>Data!G45</f>
        <v>288986.93999999994</v>
      </c>
      <c r="M187" s="10">
        <f>Data!G27</f>
        <v>418397.25</v>
      </c>
      <c r="N187" s="10">
        <f t="shared" si="8"/>
        <v>129410.31000000006</v>
      </c>
    </row>
    <row r="188" spans="10:14" x14ac:dyDescent="0.25">
      <c r="J188" s="11" t="s">
        <v>22</v>
      </c>
      <c r="K188" s="10">
        <f>Data!H10</f>
        <v>285047.18999999994</v>
      </c>
      <c r="L188" s="10">
        <f>Data!H45</f>
        <v>285047.18999999994</v>
      </c>
      <c r="M188" s="10">
        <f>Data!H27</f>
        <v>429144.12</v>
      </c>
      <c r="N188" s="10">
        <f t="shared" si="8"/>
        <v>144096.93000000005</v>
      </c>
    </row>
    <row r="189" spans="10:14" x14ac:dyDescent="0.25">
      <c r="J189" s="11" t="s">
        <v>23</v>
      </c>
      <c r="K189" s="10">
        <f>Data!I10</f>
        <v>264850.12</v>
      </c>
      <c r="L189" s="10">
        <f>Data!I45</f>
        <v>264850.12</v>
      </c>
      <c r="M189" s="10">
        <f>Data!I27</f>
        <v>432573.95</v>
      </c>
      <c r="N189" s="10">
        <f t="shared" si="8"/>
        <v>167723.83000000002</v>
      </c>
    </row>
    <row r="190" spans="10:14" x14ac:dyDescent="0.25">
      <c r="J190" s="11" t="s">
        <v>24</v>
      </c>
      <c r="K190" s="10">
        <f>Data!J10</f>
        <v>226382.61000000004</v>
      </c>
      <c r="L190" s="10">
        <f>Data!J45</f>
        <v>404060.57999999996</v>
      </c>
      <c r="M190" s="10">
        <f>Data!J27</f>
        <v>339052.33</v>
      </c>
      <c r="N190" s="10">
        <f t="shared" si="8"/>
        <v>-65008.249999999942</v>
      </c>
    </row>
    <row r="191" spans="10:14" x14ac:dyDescent="0.25">
      <c r="J191" s="11" t="s">
        <v>25</v>
      </c>
      <c r="K191" s="10">
        <f>Data!K10</f>
        <v>224681.10000000006</v>
      </c>
      <c r="L191" s="10">
        <f>Data!K45</f>
        <v>406810.30999999994</v>
      </c>
      <c r="M191" s="10">
        <f>Data!K27</f>
        <v>357001.49</v>
      </c>
      <c r="N191" s="10">
        <f t="shared" si="8"/>
        <v>-49808.819999999949</v>
      </c>
    </row>
    <row r="192" spans="10:14" x14ac:dyDescent="0.25">
      <c r="J192" s="11" t="s">
        <v>26</v>
      </c>
      <c r="K192" s="10">
        <f>Data!L10</f>
        <v>210675.20000000007</v>
      </c>
      <c r="L192" s="10">
        <f>Data!L45</f>
        <v>390157.62999999995</v>
      </c>
      <c r="M192" s="10">
        <f>Data!L27</f>
        <v>387184.95</v>
      </c>
      <c r="N192" s="10">
        <f t="shared" si="8"/>
        <v>-2972.6799999999348</v>
      </c>
    </row>
    <row r="193" spans="10:14" x14ac:dyDescent="0.25">
      <c r="J193" s="11" t="s">
        <v>27</v>
      </c>
      <c r="K193" s="10">
        <f>Data!M10</f>
        <v>202273.75000000009</v>
      </c>
      <c r="L193" s="10">
        <f>Data!M45</f>
        <v>389633.68999999994</v>
      </c>
      <c r="M193" s="10">
        <f>Data!M27</f>
        <v>394045.6</v>
      </c>
      <c r="N193" s="10">
        <f t="shared" si="8"/>
        <v>4411.9100000000326</v>
      </c>
    </row>
    <row r="194" spans="10:14" x14ac:dyDescent="0.25">
      <c r="J194" s="11" t="s">
        <v>28</v>
      </c>
      <c r="K194" s="10">
        <f>Data!N10</f>
        <v>273567.03000000003</v>
      </c>
      <c r="L194" s="10">
        <f>Data!N45</f>
        <v>467695.90999999992</v>
      </c>
      <c r="M194" s="10">
        <f>Data!N27</f>
        <v>302383.78000000003</v>
      </c>
      <c r="N194" s="10">
        <f t="shared" si="8"/>
        <v>-165312.12999999989</v>
      </c>
    </row>
    <row r="195" spans="10:14" x14ac:dyDescent="0.25">
      <c r="J195" s="11" t="s">
        <v>29</v>
      </c>
      <c r="K195" s="10">
        <f>Data!O10</f>
        <v>312012.30000000005</v>
      </c>
      <c r="L195" s="10">
        <f>Data!O45</f>
        <v>500432.09999999986</v>
      </c>
      <c r="M195" s="10">
        <f>Data!O27</f>
        <v>310854.98</v>
      </c>
      <c r="N195" s="10">
        <f t="shared" si="8"/>
        <v>-189577.11999999988</v>
      </c>
    </row>
    <row r="197" spans="10:14" x14ac:dyDescent="0.25">
      <c r="J197" t="s">
        <v>39</v>
      </c>
    </row>
    <row r="204" spans="10:14" ht="15" customHeight="1" x14ac:dyDescent="0.25">
      <c r="J204" s="32" t="s">
        <v>9</v>
      </c>
      <c r="K204" s="30" t="s">
        <v>0</v>
      </c>
      <c r="L204" s="31" t="s">
        <v>14</v>
      </c>
      <c r="M204" s="30" t="s">
        <v>13</v>
      </c>
      <c r="N204" s="30" t="s">
        <v>38</v>
      </c>
    </row>
    <row r="205" spans="10:14" x14ac:dyDescent="0.25">
      <c r="J205" s="33"/>
      <c r="K205" s="30"/>
      <c r="L205" s="31"/>
      <c r="M205" s="30"/>
      <c r="N205" s="30"/>
    </row>
    <row r="206" spans="10:14" x14ac:dyDescent="0.25">
      <c r="J206" s="11" t="s">
        <v>1</v>
      </c>
      <c r="K206" s="10">
        <f>Data!D11</f>
        <v>281995.93999999994</v>
      </c>
      <c r="L206" s="10">
        <f>Data!D46</f>
        <v>281995.93999999994</v>
      </c>
      <c r="M206" s="10">
        <f>Data!D28</f>
        <v>272634.78999999998</v>
      </c>
      <c r="N206" s="10">
        <f t="shared" ref="N206:N217" si="9">IF(M206=0,"",IF(L206=0,M206-K206,M206-L206))</f>
        <v>-9361.1499999999651</v>
      </c>
    </row>
    <row r="207" spans="10:14" x14ac:dyDescent="0.25">
      <c r="J207" s="11" t="s">
        <v>19</v>
      </c>
      <c r="K207" s="10">
        <f>Data!E11</f>
        <v>308831.14999999991</v>
      </c>
      <c r="L207" s="10">
        <f>Data!E46</f>
        <v>308831.14999999991</v>
      </c>
      <c r="M207" s="10">
        <f>Data!E28</f>
        <v>335233.59999999998</v>
      </c>
      <c r="N207" s="10">
        <f t="shared" si="9"/>
        <v>26402.45000000007</v>
      </c>
    </row>
    <row r="208" spans="10:14" x14ac:dyDescent="0.25">
      <c r="J208" s="11" t="s">
        <v>20</v>
      </c>
      <c r="K208" s="10">
        <f>Data!F11</f>
        <v>332043.35999999993</v>
      </c>
      <c r="L208" s="10">
        <f>Data!F46</f>
        <v>332043.35999999993</v>
      </c>
      <c r="M208" s="10">
        <f>Data!F28</f>
        <v>379087.15</v>
      </c>
      <c r="N208" s="10">
        <f t="shared" si="9"/>
        <v>47043.790000000095</v>
      </c>
    </row>
    <row r="209" spans="10:16" x14ac:dyDescent="0.25">
      <c r="J209" s="11" t="s">
        <v>21</v>
      </c>
      <c r="K209" s="10">
        <f>Data!G11</f>
        <v>204507.03999999995</v>
      </c>
      <c r="L209" s="10">
        <f>Data!G46</f>
        <v>204507.03999999995</v>
      </c>
      <c r="M209" s="10">
        <f>Data!G28</f>
        <v>218579.07</v>
      </c>
      <c r="N209" s="10">
        <f t="shared" si="9"/>
        <v>14072.030000000057</v>
      </c>
    </row>
    <row r="210" spans="10:16" x14ac:dyDescent="0.25">
      <c r="J210" s="11" t="s">
        <v>22</v>
      </c>
      <c r="K210" s="10">
        <f>Data!H11</f>
        <v>145184</v>
      </c>
      <c r="L210" s="10">
        <f>Data!H46</f>
        <v>145184</v>
      </c>
      <c r="M210" s="10">
        <f>Data!H28</f>
        <v>166034.67000000001</v>
      </c>
      <c r="N210" s="10">
        <f t="shared" si="9"/>
        <v>20850.670000000013</v>
      </c>
    </row>
    <row r="211" spans="10:16" x14ac:dyDescent="0.25">
      <c r="J211" s="11" t="s">
        <v>23</v>
      </c>
      <c r="K211" s="10">
        <f>Data!I11</f>
        <v>160854.32</v>
      </c>
      <c r="L211" s="10">
        <f>Data!I46</f>
        <v>160854.32</v>
      </c>
      <c r="M211" s="10">
        <f>Data!I28</f>
        <v>158504.75</v>
      </c>
      <c r="N211" s="10">
        <f t="shared" si="9"/>
        <v>-2349.570000000007</v>
      </c>
    </row>
    <row r="212" spans="10:16" x14ac:dyDescent="0.25">
      <c r="J212" s="11" t="s">
        <v>24</v>
      </c>
      <c r="K212" s="10">
        <f>Data!J11</f>
        <v>142592</v>
      </c>
      <c r="L212" s="10">
        <f>Data!J46</f>
        <v>141994.68000000002</v>
      </c>
      <c r="M212" s="10">
        <f>Data!J28</f>
        <v>158747.29999999999</v>
      </c>
      <c r="N212" s="10">
        <f t="shared" si="9"/>
        <v>16752.619999999966</v>
      </c>
    </row>
    <row r="213" spans="10:16" x14ac:dyDescent="0.25">
      <c r="J213" s="11" t="s">
        <v>25</v>
      </c>
      <c r="K213" s="10">
        <f>Data!K11</f>
        <v>141812</v>
      </c>
      <c r="L213" s="10">
        <f>Data!K46</f>
        <v>143316.55000000005</v>
      </c>
      <c r="M213" s="10">
        <f>Data!K28</f>
        <v>189219.87</v>
      </c>
      <c r="N213" s="10">
        <f t="shared" si="9"/>
        <v>45903.319999999949</v>
      </c>
    </row>
    <row r="214" spans="10:16" x14ac:dyDescent="0.25">
      <c r="J214" s="11" t="s">
        <v>26</v>
      </c>
      <c r="K214" s="10">
        <f>Data!L11</f>
        <v>160364.51</v>
      </c>
      <c r="L214" s="10">
        <f>Data!L46</f>
        <v>164643.08000000005</v>
      </c>
      <c r="M214" s="10">
        <f>Data!L28</f>
        <v>230636.28</v>
      </c>
      <c r="N214" s="10">
        <f t="shared" si="9"/>
        <v>65993.199999999953</v>
      </c>
    </row>
    <row r="215" spans="10:16" x14ac:dyDescent="0.25">
      <c r="J215" s="11" t="s">
        <v>27</v>
      </c>
      <c r="K215" s="10">
        <f>Data!M11</f>
        <v>143620.12000000002</v>
      </c>
      <c r="L215" s="10">
        <f>Data!M46</f>
        <v>175662.49000000005</v>
      </c>
      <c r="M215" s="10">
        <f>Data!M28</f>
        <v>253785.05</v>
      </c>
      <c r="N215" s="10">
        <f t="shared" si="9"/>
        <v>78122.559999999939</v>
      </c>
    </row>
    <row r="216" spans="10:16" x14ac:dyDescent="0.25">
      <c r="J216" s="11" t="s">
        <v>28</v>
      </c>
      <c r="K216" s="10">
        <f>Data!N11</f>
        <v>205239.67</v>
      </c>
      <c r="L216" s="10">
        <f>Data!N46</f>
        <v>247013.7600000001</v>
      </c>
      <c r="M216" s="10">
        <f>Data!N28</f>
        <v>295304.71999999997</v>
      </c>
      <c r="N216" s="10">
        <f t="shared" si="9"/>
        <v>48290.959999999875</v>
      </c>
    </row>
    <row r="217" spans="10:16" x14ac:dyDescent="0.25">
      <c r="J217" s="11" t="s">
        <v>29</v>
      </c>
      <c r="K217" s="10">
        <f>Data!O11</f>
        <v>189340.19</v>
      </c>
      <c r="L217" s="10">
        <f>Data!O46</f>
        <v>231781.93000000014</v>
      </c>
      <c r="M217" s="10">
        <f>Data!O28</f>
        <v>246098.92</v>
      </c>
      <c r="N217" s="10">
        <f t="shared" si="9"/>
        <v>14316.989999999874</v>
      </c>
      <c r="P217" t="s">
        <v>55</v>
      </c>
    </row>
    <row r="219" spans="10:16" x14ac:dyDescent="0.25">
      <c r="J219" t="s">
        <v>39</v>
      </c>
    </row>
    <row r="226" spans="10:16" ht="15" customHeight="1" x14ac:dyDescent="0.25">
      <c r="J226" s="31" t="s">
        <v>30</v>
      </c>
      <c r="K226" s="30" t="s">
        <v>0</v>
      </c>
      <c r="L226" s="31" t="s">
        <v>14</v>
      </c>
      <c r="M226" s="30" t="s">
        <v>13</v>
      </c>
      <c r="N226" s="30" t="s">
        <v>38</v>
      </c>
    </row>
    <row r="227" spans="10:16" x14ac:dyDescent="0.25">
      <c r="J227" s="31"/>
      <c r="K227" s="30"/>
      <c r="L227" s="31"/>
      <c r="M227" s="30"/>
      <c r="N227" s="30"/>
    </row>
    <row r="228" spans="10:16" x14ac:dyDescent="0.25">
      <c r="J228" s="11" t="s">
        <v>1</v>
      </c>
      <c r="K228" s="10">
        <f>Data!D12</f>
        <v>259231.57</v>
      </c>
      <c r="L228" s="10">
        <f>Data!D47</f>
        <v>259231.57</v>
      </c>
      <c r="M228" s="10">
        <f>Data!D29</f>
        <v>214026.86</v>
      </c>
      <c r="N228" s="10">
        <f t="shared" ref="N228:N239" si="10">IF(M228=0,"",IF(L228=0,M228-K228,M228-L228))</f>
        <v>-45204.710000000021</v>
      </c>
    </row>
    <row r="229" spans="10:16" x14ac:dyDescent="0.25">
      <c r="J229" s="11" t="s">
        <v>19</v>
      </c>
      <c r="K229" s="10">
        <f>Data!E12</f>
        <v>259900.61000000004</v>
      </c>
      <c r="L229" s="10">
        <f>Data!E47</f>
        <v>259900.61000000004</v>
      </c>
      <c r="M229" s="10">
        <f>Data!E29</f>
        <v>197613.44</v>
      </c>
      <c r="N229" s="10">
        <f t="shared" si="10"/>
        <v>-62287.170000000042</v>
      </c>
    </row>
    <row r="230" spans="10:16" x14ac:dyDescent="0.25">
      <c r="J230" s="11" t="s">
        <v>20</v>
      </c>
      <c r="K230" s="10">
        <f>Data!F12</f>
        <v>307959.76</v>
      </c>
      <c r="L230" s="10">
        <f>Data!F47</f>
        <v>307959.76</v>
      </c>
      <c r="M230" s="10">
        <f>Data!F29</f>
        <v>199849.92</v>
      </c>
      <c r="N230" s="10">
        <f t="shared" si="10"/>
        <v>-108109.84</v>
      </c>
    </row>
    <row r="231" spans="10:16" x14ac:dyDescent="0.25">
      <c r="J231" s="11" t="s">
        <v>21</v>
      </c>
      <c r="K231" s="10">
        <f>Data!G12</f>
        <v>199629.83999999997</v>
      </c>
      <c r="L231" s="10">
        <f>Data!G47</f>
        <v>199629.83999999997</v>
      </c>
      <c r="M231" s="10">
        <f>Data!G29</f>
        <v>82770.09</v>
      </c>
      <c r="N231" s="10">
        <f t="shared" si="10"/>
        <v>-116859.74999999997</v>
      </c>
    </row>
    <row r="232" spans="10:16" x14ac:dyDescent="0.25">
      <c r="J232" s="11" t="s">
        <v>22</v>
      </c>
      <c r="K232" s="10">
        <f>Data!H12</f>
        <v>74086.359999999971</v>
      </c>
      <c r="L232" s="10">
        <f>Data!H47</f>
        <v>74086.359999999971</v>
      </c>
      <c r="M232" s="10">
        <f>Data!H29</f>
        <v>69868.990000000005</v>
      </c>
      <c r="N232" s="10">
        <f t="shared" si="10"/>
        <v>-4217.3699999999662</v>
      </c>
    </row>
    <row r="233" spans="10:16" x14ac:dyDescent="0.25">
      <c r="J233" s="11" t="s">
        <v>23</v>
      </c>
      <c r="K233" s="10">
        <f>Data!I12</f>
        <v>102436.12999999995</v>
      </c>
      <c r="L233" s="10">
        <f>Data!I47</f>
        <v>102436.12999999995</v>
      </c>
      <c r="M233" s="10">
        <f>Data!I29</f>
        <v>80149.3</v>
      </c>
      <c r="N233" s="10">
        <f t="shared" si="10"/>
        <v>-22286.829999999944</v>
      </c>
    </row>
    <row r="234" spans="10:16" x14ac:dyDescent="0.25">
      <c r="J234" s="11" t="s">
        <v>24</v>
      </c>
      <c r="K234" s="10">
        <f>Data!J12</f>
        <v>80723.219999999972</v>
      </c>
      <c r="L234" s="10">
        <f>Data!J47</f>
        <v>65836.179999999993</v>
      </c>
      <c r="M234" s="10">
        <f>Data!J29</f>
        <v>23936.42</v>
      </c>
      <c r="N234" s="10">
        <f t="shared" si="10"/>
        <v>-41899.759999999995</v>
      </c>
    </row>
    <row r="235" spans="10:16" x14ac:dyDescent="0.25">
      <c r="J235" s="11" t="s">
        <v>25</v>
      </c>
      <c r="K235" s="10">
        <f>Data!K12</f>
        <v>93041.909999999974</v>
      </c>
      <c r="L235" s="10">
        <f>Data!K47</f>
        <v>84107.099999999977</v>
      </c>
      <c r="M235" s="10">
        <f>Data!K29</f>
        <v>50245.65</v>
      </c>
      <c r="N235" s="10">
        <f t="shared" si="10"/>
        <v>-33861.449999999975</v>
      </c>
    </row>
    <row r="236" spans="10:16" x14ac:dyDescent="0.25">
      <c r="J236" s="11" t="s">
        <v>26</v>
      </c>
      <c r="K236" s="10">
        <f>Data!L12</f>
        <v>75479.109999999986</v>
      </c>
      <c r="L236" s="10">
        <f>Data!L47</f>
        <v>77359.59</v>
      </c>
      <c r="M236" s="10">
        <f>Data!L29</f>
        <v>-41086.160000000003</v>
      </c>
      <c r="N236" s="10">
        <f t="shared" si="10"/>
        <v>-118445.75</v>
      </c>
      <c r="P236" t="s">
        <v>53</v>
      </c>
    </row>
    <row r="237" spans="10:16" x14ac:dyDescent="0.25">
      <c r="J237" s="11" t="s">
        <v>27</v>
      </c>
      <c r="K237" s="10">
        <f>Data!M12</f>
        <v>61647.76999999999</v>
      </c>
      <c r="L237" s="10">
        <f>Data!M47</f>
        <v>72605.439999999973</v>
      </c>
      <c r="M237" s="10">
        <f>Data!M29</f>
        <v>-59095.76</v>
      </c>
      <c r="N237" s="10">
        <f t="shared" si="10"/>
        <v>-131701.19999999998</v>
      </c>
    </row>
    <row r="238" spans="10:16" x14ac:dyDescent="0.25">
      <c r="J238" s="11" t="s">
        <v>28</v>
      </c>
      <c r="K238" s="10">
        <f>Data!N12</f>
        <v>137093.11999999997</v>
      </c>
      <c r="L238" s="10">
        <f>Data!N47</f>
        <v>158072.78999999995</v>
      </c>
      <c r="M238" s="10">
        <f>Data!N29</f>
        <v>112144.34</v>
      </c>
      <c r="N238" s="10">
        <f t="shared" si="10"/>
        <v>-45928.449999999953</v>
      </c>
    </row>
    <row r="239" spans="10:16" x14ac:dyDescent="0.25">
      <c r="J239" s="11" t="s">
        <v>29</v>
      </c>
      <c r="K239" s="10">
        <f>Data!O12</f>
        <v>107185.49999999997</v>
      </c>
      <c r="L239" s="10">
        <f>Data!O47</f>
        <v>136929.08999999994</v>
      </c>
      <c r="M239" s="10">
        <f>Data!O29</f>
        <v>62335.39</v>
      </c>
      <c r="N239" s="10">
        <f t="shared" si="10"/>
        <v>-74593.699999999939</v>
      </c>
      <c r="O239" t="s">
        <v>56</v>
      </c>
    </row>
    <row r="240" spans="10:16" x14ac:dyDescent="0.25">
      <c r="P240" s="5">
        <f>N239+39982</f>
        <v>-34611.699999999939</v>
      </c>
    </row>
    <row r="241" spans="10:14" x14ac:dyDescent="0.25">
      <c r="J241" t="s">
        <v>39</v>
      </c>
    </row>
    <row r="248" spans="10:14" x14ac:dyDescent="0.25">
      <c r="J248" s="31" t="s">
        <v>44</v>
      </c>
      <c r="K248" s="30" t="s">
        <v>0</v>
      </c>
      <c r="L248" s="31" t="s">
        <v>14</v>
      </c>
      <c r="M248" s="30" t="s">
        <v>13</v>
      </c>
      <c r="N248" s="30" t="s">
        <v>38</v>
      </c>
    </row>
    <row r="249" spans="10:14" x14ac:dyDescent="0.25">
      <c r="J249" s="31"/>
      <c r="K249" s="30"/>
      <c r="L249" s="31"/>
      <c r="M249" s="30"/>
      <c r="N249" s="30"/>
    </row>
    <row r="250" spans="10:14" x14ac:dyDescent="0.25">
      <c r="J250" s="11" t="s">
        <v>1</v>
      </c>
      <c r="K250" s="10"/>
      <c r="L250" s="10">
        <f>Data!D69</f>
        <v>0</v>
      </c>
      <c r="M250" s="10">
        <f>Data!D31</f>
        <v>0</v>
      </c>
      <c r="N250" s="10" t="str">
        <f t="shared" ref="N250:N261" si="11">IF(M250=0,"",IF(L250=0,M250-K250,M250-L250))</f>
        <v/>
      </c>
    </row>
    <row r="251" spans="10:14" x14ac:dyDescent="0.25">
      <c r="J251" s="11" t="s">
        <v>19</v>
      </c>
      <c r="K251" s="10"/>
      <c r="L251" s="10">
        <f>Data!E69</f>
        <v>0</v>
      </c>
      <c r="M251" s="10">
        <f>Data!E31</f>
        <v>0</v>
      </c>
      <c r="N251" s="10" t="str">
        <f t="shared" si="11"/>
        <v/>
      </c>
    </row>
    <row r="252" spans="10:14" x14ac:dyDescent="0.25">
      <c r="J252" s="11" t="s">
        <v>20</v>
      </c>
      <c r="K252" s="10"/>
      <c r="L252" s="10">
        <f>Data!F69</f>
        <v>0</v>
      </c>
      <c r="M252" s="10">
        <f>Data!F31</f>
        <v>52076.06</v>
      </c>
      <c r="N252" s="10">
        <f t="shared" si="11"/>
        <v>52076.06</v>
      </c>
    </row>
    <row r="253" spans="10:14" x14ac:dyDescent="0.25">
      <c r="J253" s="11" t="s">
        <v>21</v>
      </c>
      <c r="K253" s="10"/>
      <c r="L253" s="10">
        <f>Data!G69</f>
        <v>0</v>
      </c>
      <c r="M253" s="10">
        <f>Data!G31</f>
        <v>48087.85</v>
      </c>
      <c r="N253" s="10">
        <f t="shared" si="11"/>
        <v>48087.85</v>
      </c>
    </row>
    <row r="254" spans="10:14" x14ac:dyDescent="0.25">
      <c r="J254" s="11" t="s">
        <v>22</v>
      </c>
      <c r="K254" s="10"/>
      <c r="L254" s="10">
        <f>Data!H69</f>
        <v>0</v>
      </c>
      <c r="M254" s="10">
        <f>Data!H31</f>
        <v>48112.86</v>
      </c>
      <c r="N254" s="10">
        <f t="shared" si="11"/>
        <v>48112.86</v>
      </c>
    </row>
    <row r="255" spans="10:14" x14ac:dyDescent="0.25">
      <c r="J255" s="11" t="s">
        <v>23</v>
      </c>
      <c r="K255" s="10"/>
      <c r="L255" s="10">
        <f>Data!I69</f>
        <v>0</v>
      </c>
      <c r="M255" s="10">
        <f>Data!I31</f>
        <v>45909.61</v>
      </c>
      <c r="N255" s="10">
        <f t="shared" si="11"/>
        <v>45909.61</v>
      </c>
    </row>
    <row r="256" spans="10:14" x14ac:dyDescent="0.25">
      <c r="J256" s="11" t="s">
        <v>24</v>
      </c>
      <c r="K256" s="10"/>
      <c r="L256" s="10">
        <f>Data!J69</f>
        <v>0</v>
      </c>
      <c r="M256" s="10">
        <f>Data!J31</f>
        <v>36527.72</v>
      </c>
      <c r="N256" s="10">
        <f t="shared" si="11"/>
        <v>36527.72</v>
      </c>
    </row>
    <row r="257" spans="10:14" x14ac:dyDescent="0.25">
      <c r="J257" s="11" t="s">
        <v>25</v>
      </c>
      <c r="K257" s="10"/>
      <c r="L257" s="10">
        <f>Data!K69</f>
        <v>0</v>
      </c>
      <c r="M257" s="10">
        <f>Data!K31</f>
        <v>36543.230000000003</v>
      </c>
      <c r="N257" s="10">
        <f t="shared" si="11"/>
        <v>36543.230000000003</v>
      </c>
    </row>
    <row r="258" spans="10:14" x14ac:dyDescent="0.25">
      <c r="J258" s="11" t="s">
        <v>26</v>
      </c>
      <c r="K258" s="10"/>
      <c r="L258" s="10">
        <f>Data!L69</f>
        <v>0</v>
      </c>
      <c r="M258" s="10">
        <f>Data!L31</f>
        <v>36244.28</v>
      </c>
      <c r="N258" s="10">
        <f t="shared" si="11"/>
        <v>36244.28</v>
      </c>
    </row>
    <row r="259" spans="10:14" x14ac:dyDescent="0.25">
      <c r="J259" s="11" t="s">
        <v>27</v>
      </c>
      <c r="K259" s="10"/>
      <c r="L259" s="10">
        <f>Data!M69</f>
        <v>0</v>
      </c>
      <c r="M259" s="10">
        <f>Data!M31</f>
        <v>24608.52</v>
      </c>
      <c r="N259" s="10">
        <f t="shared" si="11"/>
        <v>24608.52</v>
      </c>
    </row>
    <row r="260" spans="10:14" x14ac:dyDescent="0.25">
      <c r="J260" s="11" t="s">
        <v>28</v>
      </c>
      <c r="K260" s="10"/>
      <c r="L260" s="10">
        <f>Data!N69</f>
        <v>0</v>
      </c>
      <c r="M260" s="10">
        <f>Data!N31</f>
        <v>24618.63</v>
      </c>
      <c r="N260" s="10">
        <f t="shared" si="11"/>
        <v>24618.63</v>
      </c>
    </row>
    <row r="261" spans="10:14" x14ac:dyDescent="0.25">
      <c r="J261" s="11" t="s">
        <v>29</v>
      </c>
      <c r="K261" s="10"/>
      <c r="L261" s="10">
        <f>Data!O69</f>
        <v>0</v>
      </c>
      <c r="M261" s="10">
        <f>Data!O31</f>
        <v>379.42</v>
      </c>
      <c r="N261" s="10">
        <f t="shared" si="11"/>
        <v>379.42</v>
      </c>
    </row>
  </sheetData>
  <mergeCells count="61">
    <mergeCell ref="J248:J249"/>
    <mergeCell ref="K248:K249"/>
    <mergeCell ref="L248:L249"/>
    <mergeCell ref="M248:M249"/>
    <mergeCell ref="N248:N249"/>
    <mergeCell ref="L226:L227"/>
    <mergeCell ref="L28:L29"/>
    <mergeCell ref="K182:K183"/>
    <mergeCell ref="M160:M161"/>
    <mergeCell ref="L182:L183"/>
    <mergeCell ref="N160:N161"/>
    <mergeCell ref="A1:M1"/>
    <mergeCell ref="L50:L51"/>
    <mergeCell ref="L72:L73"/>
    <mergeCell ref="L94:L95"/>
    <mergeCell ref="L116:L117"/>
    <mergeCell ref="L138:L139"/>
    <mergeCell ref="L160:L161"/>
    <mergeCell ref="K160:K161"/>
    <mergeCell ref="M138:M139"/>
    <mergeCell ref="J138:J139"/>
    <mergeCell ref="N138:N139"/>
    <mergeCell ref="J160:J161"/>
    <mergeCell ref="N72:N73"/>
    <mergeCell ref="N94:N95"/>
    <mergeCell ref="N50:N51"/>
    <mergeCell ref="J226:J227"/>
    <mergeCell ref="K28:K29"/>
    <mergeCell ref="M226:M227"/>
    <mergeCell ref="N226:N227"/>
    <mergeCell ref="K226:K227"/>
    <mergeCell ref="J72:J73"/>
    <mergeCell ref="K72:K73"/>
    <mergeCell ref="M72:M73"/>
    <mergeCell ref="J50:J51"/>
    <mergeCell ref="K50:K51"/>
    <mergeCell ref="M50:M51"/>
    <mergeCell ref="J116:J117"/>
    <mergeCell ref="K138:K139"/>
    <mergeCell ref="M116:M117"/>
    <mergeCell ref="J94:J95"/>
    <mergeCell ref="K94:K95"/>
    <mergeCell ref="J182:J183"/>
    <mergeCell ref="K204:K205"/>
    <mergeCell ref="M182:M183"/>
    <mergeCell ref="N182:N183"/>
    <mergeCell ref="J204:J205"/>
    <mergeCell ref="M204:M205"/>
    <mergeCell ref="N204:N205"/>
    <mergeCell ref="L204:L205"/>
    <mergeCell ref="N116:N117"/>
    <mergeCell ref="J28:J29"/>
    <mergeCell ref="K6:K7"/>
    <mergeCell ref="M28:M29"/>
    <mergeCell ref="N28:N29"/>
    <mergeCell ref="J6:J7"/>
    <mergeCell ref="L6:L7"/>
    <mergeCell ref="M6:M7"/>
    <mergeCell ref="N6:N7"/>
    <mergeCell ref="M94:M95"/>
    <mergeCell ref="K116:K117"/>
  </mergeCells>
  <conditionalFormatting sqref="L8:M19">
    <cfRule type="cellIs" dxfId="22" priority="23" operator="equal">
      <formula>0</formula>
    </cfRule>
  </conditionalFormatting>
  <conditionalFormatting sqref="L30:M41">
    <cfRule type="cellIs" dxfId="21" priority="21" operator="equal">
      <formula>0</formula>
    </cfRule>
  </conditionalFormatting>
  <conditionalFormatting sqref="L52:M63">
    <cfRule type="cellIs" dxfId="20" priority="19" operator="equal">
      <formula>0</formula>
    </cfRule>
  </conditionalFormatting>
  <conditionalFormatting sqref="L74:M85">
    <cfRule type="cellIs" dxfId="19" priority="17" operator="equal">
      <formula>0</formula>
    </cfRule>
  </conditionalFormatting>
  <conditionalFormatting sqref="L96:M107">
    <cfRule type="cellIs" dxfId="18" priority="15" operator="equal">
      <formula>0</formula>
    </cfRule>
  </conditionalFormatting>
  <conditionalFormatting sqref="L118:M129">
    <cfRule type="cellIs" dxfId="17" priority="13" operator="equal">
      <formula>0</formula>
    </cfRule>
  </conditionalFormatting>
  <conditionalFormatting sqref="L140:M151">
    <cfRule type="cellIs" dxfId="16" priority="11" operator="equal">
      <formula>0</formula>
    </cfRule>
  </conditionalFormatting>
  <conditionalFormatting sqref="L162:M173">
    <cfRule type="cellIs" dxfId="15" priority="9" operator="equal">
      <formula>0</formula>
    </cfRule>
  </conditionalFormatting>
  <conditionalFormatting sqref="L184:M195">
    <cfRule type="cellIs" dxfId="14" priority="7" operator="equal">
      <formula>0</formula>
    </cfRule>
  </conditionalFormatting>
  <conditionalFormatting sqref="L206:M217">
    <cfRule type="cellIs" dxfId="13" priority="5" operator="equal">
      <formula>0</formula>
    </cfRule>
  </conditionalFormatting>
  <conditionalFormatting sqref="L228:M239">
    <cfRule type="cellIs" dxfId="12" priority="25" operator="equal">
      <formula>0</formula>
    </cfRule>
  </conditionalFormatting>
  <conditionalFormatting sqref="L250:M261">
    <cfRule type="cellIs" dxfId="11" priority="1" operator="equal">
      <formula>0</formula>
    </cfRule>
  </conditionalFormatting>
  <pageMargins left="0.39370078740157483" right="0.39370078740157483" top="0.98425196850393704" bottom="0.78740157480314965" header="0.31496062992125984" footer="0.31496062992125984"/>
  <pageSetup paperSize="8" scale="66" fitToHeight="0" orientation="portrait" horizontalDpi="0" verticalDpi="0" r:id="rId1"/>
  <rowBreaks count="3" manualBreakCount="3">
    <brk id="46" max="16383" man="1"/>
    <brk id="112" max="16383" man="1"/>
    <brk id="17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AA8B-2F59-4C4F-A6B7-B518D1323843}">
  <sheetPr codeName="Sheet3">
    <pageSetUpPr fitToPage="1"/>
  </sheetPr>
  <dimension ref="A1:T241"/>
  <sheetViews>
    <sheetView zoomScaleNormal="100" workbookViewId="0">
      <selection activeCell="R18" sqref="R18"/>
    </sheetView>
  </sheetViews>
  <sheetFormatPr defaultRowHeight="15" x14ac:dyDescent="0.25"/>
  <cols>
    <col min="10" max="10" width="9.85546875" bestFit="1" customWidth="1"/>
    <col min="11" max="11" width="12.42578125" bestFit="1" customWidth="1"/>
    <col min="12" max="12" width="12.42578125" customWidth="1"/>
    <col min="13" max="13" width="12.42578125" bestFit="1" customWidth="1"/>
    <col min="14" max="14" width="11.5703125" bestFit="1" customWidth="1"/>
  </cols>
  <sheetData>
    <row r="1" spans="1:20" ht="21" x14ac:dyDescent="0.35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9"/>
      <c r="O1" s="9"/>
      <c r="P1" s="9"/>
      <c r="Q1" s="9"/>
      <c r="R1" s="9"/>
      <c r="S1" s="9"/>
      <c r="T1" s="9"/>
    </row>
    <row r="6" spans="1:20" ht="15" customHeight="1" x14ac:dyDescent="0.25">
      <c r="J6" s="31" t="s">
        <v>34</v>
      </c>
      <c r="K6" s="30" t="s">
        <v>0</v>
      </c>
      <c r="L6" s="31" t="s">
        <v>14</v>
      </c>
      <c r="M6" s="30" t="s">
        <v>13</v>
      </c>
      <c r="N6" s="30" t="s">
        <v>38</v>
      </c>
    </row>
    <row r="7" spans="1:20" x14ac:dyDescent="0.25">
      <c r="J7" s="31"/>
      <c r="K7" s="30"/>
      <c r="L7" s="31"/>
      <c r="M7" s="30"/>
      <c r="N7" s="30"/>
    </row>
    <row r="8" spans="1:20" x14ac:dyDescent="0.25">
      <c r="J8" s="11" t="s">
        <v>1</v>
      </c>
      <c r="K8" s="10">
        <f>Data!D14</f>
        <v>1939932.8900000001</v>
      </c>
      <c r="L8" s="10">
        <f>Data!D49</f>
        <v>1939932.8900000001</v>
      </c>
      <c r="M8" s="10">
        <f>Data!D32</f>
        <v>1976696.38</v>
      </c>
      <c r="N8" s="10">
        <f t="shared" ref="N8:N19" si="0">IF(M8=0,"",IF(L8=0,M8-K8,M8-L8))</f>
        <v>36763.489999999758</v>
      </c>
    </row>
    <row r="9" spans="1:20" x14ac:dyDescent="0.25">
      <c r="J9" s="11" t="s">
        <v>19</v>
      </c>
      <c r="K9" s="10">
        <f>Data!E14</f>
        <v>2108870.71</v>
      </c>
      <c r="L9" s="10">
        <f>Data!E49</f>
        <v>2108870.71</v>
      </c>
      <c r="M9" s="10">
        <f>Data!E32</f>
        <v>2523087.0099999998</v>
      </c>
      <c r="N9" s="10">
        <f t="shared" si="0"/>
        <v>414216.29999999981</v>
      </c>
    </row>
    <row r="10" spans="1:20" x14ac:dyDescent="0.25">
      <c r="J10" s="11" t="s">
        <v>20</v>
      </c>
      <c r="K10" s="10">
        <f>Data!F14</f>
        <v>2182946.0199999996</v>
      </c>
      <c r="L10" s="10">
        <f>Data!F49</f>
        <v>2182946.0199999996</v>
      </c>
      <c r="M10" s="10">
        <f>Data!F32</f>
        <v>2502509.0599999996</v>
      </c>
      <c r="N10" s="10">
        <f t="shared" si="0"/>
        <v>319563.04000000004</v>
      </c>
    </row>
    <row r="11" spans="1:20" x14ac:dyDescent="0.25">
      <c r="J11" s="11" t="s">
        <v>21</v>
      </c>
      <c r="K11" s="10">
        <f>Data!G14</f>
        <v>1840649.3699999996</v>
      </c>
      <c r="L11" s="10">
        <f>Data!G49</f>
        <v>1840649.3699999996</v>
      </c>
      <c r="M11" s="10">
        <f>Data!G32</f>
        <v>1972978.1</v>
      </c>
      <c r="N11" s="10">
        <f t="shared" si="0"/>
        <v>132328.73000000045</v>
      </c>
    </row>
    <row r="12" spans="1:20" x14ac:dyDescent="0.25">
      <c r="J12" s="11" t="s">
        <v>22</v>
      </c>
      <c r="K12" s="10">
        <f>Data!H14</f>
        <v>1596508.5700000003</v>
      </c>
      <c r="L12" s="10">
        <f>Data!H49</f>
        <v>1596508.5700000003</v>
      </c>
      <c r="M12" s="10">
        <f>Data!H32</f>
        <v>2040449.55</v>
      </c>
      <c r="N12" s="10">
        <f t="shared" si="0"/>
        <v>443940.97999999975</v>
      </c>
    </row>
    <row r="13" spans="1:20" x14ac:dyDescent="0.25">
      <c r="J13" s="11" t="s">
        <v>23</v>
      </c>
      <c r="K13" s="10">
        <f>Data!I14</f>
        <v>1563629.3800000004</v>
      </c>
      <c r="L13" s="10">
        <f>Data!I49</f>
        <v>1563629.3800000004</v>
      </c>
      <c r="M13" s="10">
        <f>Data!I32</f>
        <v>1998747.2400000002</v>
      </c>
      <c r="N13" s="10">
        <f t="shared" si="0"/>
        <v>435117.85999999987</v>
      </c>
    </row>
    <row r="14" spans="1:20" x14ac:dyDescent="0.25">
      <c r="J14" s="11" t="s">
        <v>24</v>
      </c>
      <c r="K14" s="10">
        <f>Data!J14</f>
        <v>1352712.28</v>
      </c>
      <c r="L14" s="10">
        <f>Data!J49</f>
        <v>1672674.96</v>
      </c>
      <c r="M14" s="10">
        <f>Data!J32</f>
        <v>1495218.3499999999</v>
      </c>
      <c r="N14" s="10">
        <f t="shared" si="0"/>
        <v>-177456.6100000001</v>
      </c>
    </row>
    <row r="15" spans="1:20" x14ac:dyDescent="0.25">
      <c r="J15" s="11" t="s">
        <v>25</v>
      </c>
      <c r="K15" s="10">
        <f>Data!K14</f>
        <v>1367737.1400000001</v>
      </c>
      <c r="L15" s="10">
        <f>Data!K49</f>
        <v>1721040.67</v>
      </c>
      <c r="M15" s="10">
        <f>Data!K32</f>
        <v>1592947.2899999998</v>
      </c>
      <c r="N15" s="10">
        <f t="shared" si="0"/>
        <v>-128093.38000000012</v>
      </c>
    </row>
    <row r="16" spans="1:20" x14ac:dyDescent="0.25">
      <c r="J16" s="11" t="s">
        <v>26</v>
      </c>
      <c r="K16" s="10">
        <f>Data!L14</f>
        <v>1469469.6800000002</v>
      </c>
      <c r="L16" s="10">
        <f>Data!L49</f>
        <v>1793642.04</v>
      </c>
      <c r="M16" s="10">
        <f>Data!L32</f>
        <v>1708707.8400000001</v>
      </c>
      <c r="N16" s="10">
        <f t="shared" si="0"/>
        <v>-84934.199999999953</v>
      </c>
    </row>
    <row r="17" spans="10:14" x14ac:dyDescent="0.25">
      <c r="J17" s="11" t="s">
        <v>27</v>
      </c>
      <c r="K17" s="10">
        <f>Data!M14</f>
        <v>1298572.8400000003</v>
      </c>
      <c r="L17" s="10">
        <f>Data!M49</f>
        <v>1703450.1399999997</v>
      </c>
      <c r="M17" s="10">
        <f>Data!M32</f>
        <v>1639969.7790000001</v>
      </c>
      <c r="N17" s="10">
        <f t="shared" si="0"/>
        <v>-63480.360999999568</v>
      </c>
    </row>
    <row r="18" spans="10:14" x14ac:dyDescent="0.25">
      <c r="J18" s="11" t="s">
        <v>28</v>
      </c>
      <c r="K18" s="10">
        <f>Data!N14</f>
        <v>1893345.8099999998</v>
      </c>
      <c r="L18" s="10">
        <f>Data!N49</f>
        <v>2314273.66</v>
      </c>
      <c r="M18" s="10">
        <f>Data!N32</f>
        <v>2094138.63</v>
      </c>
      <c r="N18" s="10">
        <f t="shared" si="0"/>
        <v>-220135.03000000026</v>
      </c>
    </row>
    <row r="19" spans="10:14" x14ac:dyDescent="0.25">
      <c r="J19" s="11" t="s">
        <v>29</v>
      </c>
      <c r="K19" s="10">
        <f>Data!O14</f>
        <v>1838848.36</v>
      </c>
      <c r="L19" s="10">
        <f>Data!O49</f>
        <v>2221359.5699999998</v>
      </c>
      <c r="M19" s="10">
        <f>Data!O32</f>
        <v>1777084.2499999995</v>
      </c>
      <c r="N19" s="10">
        <f t="shared" si="0"/>
        <v>-444275.3200000003</v>
      </c>
    </row>
    <row r="21" spans="10:14" x14ac:dyDescent="0.25">
      <c r="J21" t="s">
        <v>39</v>
      </c>
    </row>
    <row r="28" spans="10:14" ht="15" customHeight="1" x14ac:dyDescent="0.25">
      <c r="J28" s="31" t="s">
        <v>11</v>
      </c>
      <c r="K28" s="30" t="s">
        <v>0</v>
      </c>
      <c r="L28" s="31" t="s">
        <v>14</v>
      </c>
      <c r="M28" s="30" t="s">
        <v>13</v>
      </c>
      <c r="N28" s="30" t="s">
        <v>38</v>
      </c>
    </row>
    <row r="29" spans="10:14" x14ac:dyDescent="0.25">
      <c r="J29" s="31"/>
      <c r="K29" s="30"/>
      <c r="L29" s="31"/>
      <c r="M29" s="30"/>
      <c r="N29" s="30"/>
    </row>
    <row r="30" spans="10:14" x14ac:dyDescent="0.25">
      <c r="J30" s="11" t="s">
        <v>1</v>
      </c>
      <c r="K30" s="10">
        <f>Data!D13</f>
        <v>336807.33000000007</v>
      </c>
      <c r="L30" s="10">
        <f>Data!D48</f>
        <v>336807.33000000007</v>
      </c>
      <c r="M30" s="10">
        <f>Data!D31</f>
        <v>0</v>
      </c>
      <c r="N30" s="10" t="str">
        <f t="shared" ref="N30:N41" si="1">IF(M30=0,"",IF(L30=0,M30-K30,M30-L30))</f>
        <v/>
      </c>
    </row>
    <row r="31" spans="10:14" x14ac:dyDescent="0.25">
      <c r="J31" s="11" t="s">
        <v>19</v>
      </c>
      <c r="K31" s="10">
        <f>Data!E13</f>
        <v>448797.43000000005</v>
      </c>
      <c r="L31" s="10">
        <f>Data!E48</f>
        <v>448797.43000000005</v>
      </c>
      <c r="M31" s="10">
        <f>Data!E31</f>
        <v>0</v>
      </c>
      <c r="N31" s="10" t="str">
        <f t="shared" si="1"/>
        <v/>
      </c>
    </row>
    <row r="32" spans="10:14" x14ac:dyDescent="0.25">
      <c r="J32" s="11" t="s">
        <v>20</v>
      </c>
      <c r="K32" s="10">
        <f>Data!F13</f>
        <v>426388.30000000005</v>
      </c>
      <c r="L32" s="10">
        <f>Data!F48</f>
        <v>426388.30000000005</v>
      </c>
      <c r="M32" s="10">
        <f>Data!F31</f>
        <v>52076.06</v>
      </c>
      <c r="N32" s="10">
        <f t="shared" si="1"/>
        <v>-374312.24000000005</v>
      </c>
    </row>
    <row r="33" spans="10:14" x14ac:dyDescent="0.25">
      <c r="J33" s="11" t="s">
        <v>21</v>
      </c>
      <c r="K33" s="10">
        <f>Data!G13</f>
        <v>423343.21000000008</v>
      </c>
      <c r="L33" s="10">
        <f>Data!G48</f>
        <v>423343.21000000008</v>
      </c>
      <c r="M33" s="10">
        <f>Data!G31</f>
        <v>48087.85</v>
      </c>
      <c r="N33" s="10">
        <f t="shared" si="1"/>
        <v>-375255.3600000001</v>
      </c>
    </row>
    <row r="34" spans="10:14" x14ac:dyDescent="0.25">
      <c r="J34" s="11" t="s">
        <v>22</v>
      </c>
      <c r="K34" s="10">
        <f>Data!H13</f>
        <v>368424.85000000009</v>
      </c>
      <c r="L34" s="10">
        <f>Data!H48</f>
        <v>368424.85000000009</v>
      </c>
      <c r="M34" s="10">
        <f>Data!H31</f>
        <v>48112.86</v>
      </c>
      <c r="N34" s="10">
        <f t="shared" si="1"/>
        <v>-320311.99000000011</v>
      </c>
    </row>
    <row r="35" spans="10:14" x14ac:dyDescent="0.25">
      <c r="J35" s="11" t="s">
        <v>23</v>
      </c>
      <c r="K35" s="10">
        <f>Data!I13</f>
        <v>345719.70000000007</v>
      </c>
      <c r="L35" s="10">
        <f>Data!I48</f>
        <v>345719.70000000007</v>
      </c>
      <c r="M35" s="10">
        <f>Data!I31</f>
        <v>45909.61</v>
      </c>
      <c r="N35" s="10">
        <f t="shared" si="1"/>
        <v>-299810.09000000008</v>
      </c>
    </row>
    <row r="36" spans="10:14" x14ac:dyDescent="0.25">
      <c r="J36" s="11" t="s">
        <v>24</v>
      </c>
      <c r="K36" s="10">
        <f>Data!J13</f>
        <v>324071.26000000007</v>
      </c>
      <c r="L36" s="10">
        <f>Data!J48</f>
        <v>328808.28999999998</v>
      </c>
      <c r="M36" s="10">
        <f>Data!J31</f>
        <v>36527.72</v>
      </c>
      <c r="N36" s="10">
        <f t="shared" si="1"/>
        <v>-292280.56999999995</v>
      </c>
    </row>
    <row r="37" spans="10:14" x14ac:dyDescent="0.25">
      <c r="J37" s="11" t="s">
        <v>25</v>
      </c>
      <c r="K37" s="10">
        <f>Data!K13</f>
        <v>298593.99000000011</v>
      </c>
      <c r="L37" s="10">
        <f>Data!K48</f>
        <v>312137.25</v>
      </c>
      <c r="M37" s="10">
        <f>Data!K31</f>
        <v>36543.230000000003</v>
      </c>
      <c r="N37" s="10">
        <f t="shared" si="1"/>
        <v>-275594.02</v>
      </c>
    </row>
    <row r="38" spans="10:14" x14ac:dyDescent="0.25">
      <c r="J38" s="11" t="s">
        <v>26</v>
      </c>
      <c r="K38" s="10">
        <f>Data!L13</f>
        <v>363843.96000000008</v>
      </c>
      <c r="L38" s="10">
        <f>Data!L48</f>
        <v>321938.21999999997</v>
      </c>
      <c r="M38" s="10">
        <f>Data!L31</f>
        <v>36244.28</v>
      </c>
      <c r="N38" s="10">
        <f t="shared" si="1"/>
        <v>-285693.93999999994</v>
      </c>
    </row>
    <row r="39" spans="10:14" x14ac:dyDescent="0.25">
      <c r="J39" s="11" t="s">
        <v>27</v>
      </c>
      <c r="K39" s="10">
        <f>Data!M13</f>
        <v>306188.09000000008</v>
      </c>
      <c r="L39" s="10">
        <f>Data!M48</f>
        <v>309613.70999999996</v>
      </c>
      <c r="M39" s="10">
        <f>Data!M31</f>
        <v>24608.52</v>
      </c>
      <c r="N39" s="10">
        <f t="shared" si="1"/>
        <v>-285005.18999999994</v>
      </c>
    </row>
    <row r="40" spans="10:14" x14ac:dyDescent="0.25">
      <c r="J40" s="11" t="s">
        <v>28</v>
      </c>
      <c r="K40" s="10">
        <f>Data!N13</f>
        <v>320651.2900000001</v>
      </c>
      <c r="L40" s="10">
        <f>Data!N48</f>
        <v>323776.31999999995</v>
      </c>
      <c r="M40" s="10">
        <f>Data!N31</f>
        <v>24618.63</v>
      </c>
      <c r="N40" s="10">
        <f t="shared" si="1"/>
        <v>-299157.68999999994</v>
      </c>
    </row>
    <row r="41" spans="10:14" x14ac:dyDescent="0.25">
      <c r="J41" s="11" t="s">
        <v>29</v>
      </c>
      <c r="K41" s="10">
        <f>Data!O13</f>
        <v>337495.08000000007</v>
      </c>
      <c r="L41" s="10">
        <f>Data!O48</f>
        <v>294956.22999999992</v>
      </c>
      <c r="M41" s="10">
        <f>Data!O31</f>
        <v>379.42</v>
      </c>
      <c r="N41" s="10">
        <f t="shared" si="1"/>
        <v>-294576.80999999994</v>
      </c>
    </row>
    <row r="43" spans="10:14" x14ac:dyDescent="0.25">
      <c r="J43" t="s">
        <v>39</v>
      </c>
    </row>
    <row r="50" spans="10:14" ht="15" customHeight="1" x14ac:dyDescent="0.25">
      <c r="J50" s="30" t="s">
        <v>2</v>
      </c>
      <c r="K50" s="30" t="s">
        <v>0</v>
      </c>
      <c r="L50" s="31" t="s">
        <v>14</v>
      </c>
      <c r="M50" s="30" t="s">
        <v>13</v>
      </c>
      <c r="N50" s="30" t="s">
        <v>38</v>
      </c>
    </row>
    <row r="51" spans="10:14" x14ac:dyDescent="0.25">
      <c r="J51" s="30"/>
      <c r="K51" s="30"/>
      <c r="L51" s="31"/>
      <c r="M51" s="30"/>
      <c r="N51" s="30"/>
    </row>
    <row r="52" spans="10:14" x14ac:dyDescent="0.25">
      <c r="J52" s="11" t="s">
        <v>1</v>
      </c>
      <c r="K52" s="10">
        <f>Data!D4</f>
        <v>125475.63</v>
      </c>
      <c r="L52" s="10">
        <f>Data!D39</f>
        <v>125475.63</v>
      </c>
      <c r="M52" s="10">
        <f>Data!D21</f>
        <v>142802.51</v>
      </c>
      <c r="N52" s="10">
        <f t="shared" ref="N52:N63" si="2">IF(M52=0,"",IF(L52=0,M52-K52,M52-L52))</f>
        <v>17326.880000000005</v>
      </c>
    </row>
    <row r="53" spans="10:14" x14ac:dyDescent="0.25">
      <c r="J53" s="11" t="s">
        <v>19</v>
      </c>
      <c r="K53" s="10">
        <f>Data!E4</f>
        <v>121412.18000000002</v>
      </c>
      <c r="L53" s="10">
        <f>Data!E39</f>
        <v>121412.18000000002</v>
      </c>
      <c r="M53" s="10">
        <f>Data!E21</f>
        <v>183941.09</v>
      </c>
      <c r="N53" s="10">
        <f t="shared" si="2"/>
        <v>62528.909999999974</v>
      </c>
    </row>
    <row r="54" spans="10:14" x14ac:dyDescent="0.25">
      <c r="J54" s="11" t="s">
        <v>20</v>
      </c>
      <c r="K54" s="10">
        <f>Data!F4</f>
        <v>129094.71000000002</v>
      </c>
      <c r="L54" s="10">
        <f>Data!F39</f>
        <v>129094.71000000002</v>
      </c>
      <c r="M54" s="10">
        <f>Data!F21</f>
        <v>207744.62</v>
      </c>
      <c r="N54" s="10">
        <f t="shared" si="2"/>
        <v>78649.909999999974</v>
      </c>
    </row>
    <row r="55" spans="10:14" x14ac:dyDescent="0.25">
      <c r="J55" s="11" t="s">
        <v>21</v>
      </c>
      <c r="K55" s="10">
        <f>Data!G4</f>
        <v>113820.09000000003</v>
      </c>
      <c r="L55" s="10">
        <f>Data!G39</f>
        <v>113820.09000000003</v>
      </c>
      <c r="M55" s="10">
        <f>Data!G21</f>
        <v>136583.07</v>
      </c>
      <c r="N55" s="10">
        <f t="shared" si="2"/>
        <v>22762.979999999981</v>
      </c>
    </row>
    <row r="56" spans="10:14" x14ac:dyDescent="0.25">
      <c r="J56" s="11" t="s">
        <v>22</v>
      </c>
      <c r="K56" s="10">
        <f>Data!H4</f>
        <v>113054.18000000005</v>
      </c>
      <c r="L56" s="10">
        <f>Data!H39</f>
        <v>113054.18000000005</v>
      </c>
      <c r="M56" s="10">
        <f>Data!H21</f>
        <v>152482.54999999999</v>
      </c>
      <c r="N56" s="10">
        <f t="shared" si="2"/>
        <v>39428.369999999937</v>
      </c>
    </row>
    <row r="57" spans="10:14" x14ac:dyDescent="0.25">
      <c r="J57" s="11" t="s">
        <v>23</v>
      </c>
      <c r="K57" s="10">
        <f>Data!I4</f>
        <v>99061.96000000005</v>
      </c>
      <c r="L57" s="10">
        <f>Data!I39</f>
        <v>99061.96000000005</v>
      </c>
      <c r="M57" s="10">
        <f>Data!I21</f>
        <v>151064.13</v>
      </c>
      <c r="N57" s="10">
        <f t="shared" si="2"/>
        <v>52002.169999999955</v>
      </c>
    </row>
    <row r="58" spans="10:14" x14ac:dyDescent="0.25">
      <c r="J58" s="11" t="s">
        <v>24</v>
      </c>
      <c r="K58" s="10">
        <f>Data!J4</f>
        <v>81200.620000000054</v>
      </c>
      <c r="L58" s="10">
        <f>Data!J39</f>
        <v>127208.43000000005</v>
      </c>
      <c r="M58" s="10">
        <f>Data!J21</f>
        <v>84841.919999999998</v>
      </c>
      <c r="N58" s="10">
        <f t="shared" si="2"/>
        <v>-42366.510000000053</v>
      </c>
    </row>
    <row r="59" spans="10:14" x14ac:dyDescent="0.25">
      <c r="J59" s="11" t="s">
        <v>25</v>
      </c>
      <c r="K59" s="10">
        <f>Data!K4</f>
        <v>79262.510000000068</v>
      </c>
      <c r="L59" s="10">
        <f>Data!K39</f>
        <v>123453.93000000002</v>
      </c>
      <c r="M59" s="10">
        <f>Data!K21</f>
        <v>91434.559999999998</v>
      </c>
      <c r="N59" s="10">
        <f t="shared" si="2"/>
        <v>-32019.370000000024</v>
      </c>
    </row>
    <row r="60" spans="10:14" x14ac:dyDescent="0.25">
      <c r="J60" s="11" t="s">
        <v>26</v>
      </c>
      <c r="K60" s="10">
        <f>Data!L4</f>
        <v>90425.340000000055</v>
      </c>
      <c r="L60" s="10">
        <f>Data!L39</f>
        <v>163571.6</v>
      </c>
      <c r="M60" s="10">
        <f>Data!L21</f>
        <v>73575.100000000006</v>
      </c>
      <c r="N60" s="10">
        <f t="shared" si="2"/>
        <v>-89996.5</v>
      </c>
    </row>
    <row r="61" spans="10:14" x14ac:dyDescent="0.25">
      <c r="J61" s="11" t="s">
        <v>27</v>
      </c>
      <c r="K61" s="10">
        <f>Data!M4</f>
        <v>78374.920000000071</v>
      </c>
      <c r="L61" s="10">
        <f>Data!M39</f>
        <v>146743.45000000004</v>
      </c>
      <c r="M61" s="10">
        <f>Data!M21</f>
        <v>53668.398999999998</v>
      </c>
      <c r="N61" s="10">
        <f t="shared" si="2"/>
        <v>-93075.051000000036</v>
      </c>
    </row>
    <row r="62" spans="10:14" x14ac:dyDescent="0.25">
      <c r="J62" s="11" t="s">
        <v>28</v>
      </c>
      <c r="K62" s="10">
        <f>Data!N4</f>
        <v>145453.29000000012</v>
      </c>
      <c r="L62" s="10">
        <f>Data!N39</f>
        <v>209021.11000000002</v>
      </c>
      <c r="M62" s="10">
        <f>Data!N21</f>
        <v>129522.61</v>
      </c>
      <c r="N62" s="10">
        <f t="shared" si="2"/>
        <v>-79498.500000000015</v>
      </c>
    </row>
    <row r="63" spans="10:14" x14ac:dyDescent="0.25">
      <c r="J63" s="11" t="s">
        <v>29</v>
      </c>
      <c r="K63" s="10">
        <f>Data!O4</f>
        <v>139931.5800000001</v>
      </c>
      <c r="L63" s="10">
        <f>Data!O39</f>
        <v>201052.83000000005</v>
      </c>
      <c r="M63" s="10">
        <f>Data!O21</f>
        <v>70014.11</v>
      </c>
      <c r="N63" s="10">
        <f t="shared" si="2"/>
        <v>-131038.72000000004</v>
      </c>
    </row>
    <row r="65" spans="10:14" x14ac:dyDescent="0.25">
      <c r="J65" t="s">
        <v>39</v>
      </c>
    </row>
    <row r="72" spans="10:14" ht="15" customHeight="1" x14ac:dyDescent="0.25">
      <c r="J72" s="30" t="s">
        <v>3</v>
      </c>
      <c r="K72" s="30" t="s">
        <v>0</v>
      </c>
      <c r="L72" s="31" t="s">
        <v>14</v>
      </c>
      <c r="M72" s="30" t="s">
        <v>13</v>
      </c>
      <c r="N72" s="30" t="s">
        <v>38</v>
      </c>
    </row>
    <row r="73" spans="10:14" x14ac:dyDescent="0.25">
      <c r="J73" s="30"/>
      <c r="K73" s="30"/>
      <c r="L73" s="31"/>
      <c r="M73" s="30"/>
      <c r="N73" s="30"/>
    </row>
    <row r="74" spans="10:14" x14ac:dyDescent="0.25">
      <c r="J74" s="11" t="s">
        <v>1</v>
      </c>
      <c r="K74" s="10">
        <f>Data!D5</f>
        <v>91045.05</v>
      </c>
      <c r="L74" s="10">
        <f>Data!D40</f>
        <v>91045.05</v>
      </c>
      <c r="M74" s="10">
        <f>Data!D22</f>
        <v>102458.82</v>
      </c>
      <c r="N74" s="10">
        <f t="shared" ref="N74:N85" si="3">IF(M74=0,"",IF(L74=0,M74-K74,M74-L74))</f>
        <v>11413.770000000004</v>
      </c>
    </row>
    <row r="75" spans="10:14" x14ac:dyDescent="0.25">
      <c r="J75" s="11" t="s">
        <v>19</v>
      </c>
      <c r="K75" s="10">
        <f>Data!E5</f>
        <v>96254.640000000014</v>
      </c>
      <c r="L75" s="10">
        <f>Data!E40</f>
        <v>96254.640000000014</v>
      </c>
      <c r="M75" s="10">
        <f>Data!E22</f>
        <v>108059.51</v>
      </c>
      <c r="N75" s="10">
        <f t="shared" si="3"/>
        <v>11804.869999999981</v>
      </c>
    </row>
    <row r="76" spans="10:14" x14ac:dyDescent="0.25">
      <c r="J76" s="11" t="s">
        <v>20</v>
      </c>
      <c r="K76" s="10">
        <f>Data!F5</f>
        <v>106863.01000000002</v>
      </c>
      <c r="L76" s="10">
        <f>Data!F40</f>
        <v>106863.01000000002</v>
      </c>
      <c r="M76" s="10">
        <f>Data!F22</f>
        <v>138014.71</v>
      </c>
      <c r="N76" s="10">
        <f t="shared" si="3"/>
        <v>31151.699999999968</v>
      </c>
    </row>
    <row r="77" spans="10:14" x14ac:dyDescent="0.25">
      <c r="J77" s="11" t="s">
        <v>21</v>
      </c>
      <c r="K77" s="10">
        <f>Data!G5</f>
        <v>96618.540000000008</v>
      </c>
      <c r="L77" s="10">
        <f>Data!G40</f>
        <v>96618.540000000008</v>
      </c>
      <c r="M77" s="10">
        <f>Data!G22</f>
        <v>101545.4</v>
      </c>
      <c r="N77" s="10">
        <f t="shared" si="3"/>
        <v>4926.859999999986</v>
      </c>
    </row>
    <row r="78" spans="10:14" x14ac:dyDescent="0.25">
      <c r="J78" s="11" t="s">
        <v>22</v>
      </c>
      <c r="K78" s="10">
        <f>Data!H5</f>
        <v>98509.560000000027</v>
      </c>
      <c r="L78" s="10">
        <f>Data!H40</f>
        <v>98509.560000000027</v>
      </c>
      <c r="M78" s="10">
        <f>Data!H22</f>
        <v>115340.51</v>
      </c>
      <c r="N78" s="10">
        <f t="shared" si="3"/>
        <v>16830.949999999968</v>
      </c>
    </row>
    <row r="79" spans="10:14" x14ac:dyDescent="0.25">
      <c r="J79" s="11" t="s">
        <v>23</v>
      </c>
      <c r="K79" s="10">
        <f>Data!I5</f>
        <v>89746.060000000027</v>
      </c>
      <c r="L79" s="10">
        <f>Data!I40</f>
        <v>89746.060000000027</v>
      </c>
      <c r="M79" s="10">
        <f>Data!I22</f>
        <v>112508.39</v>
      </c>
      <c r="N79" s="10">
        <f t="shared" si="3"/>
        <v>22762.329999999973</v>
      </c>
    </row>
    <row r="80" spans="10:14" x14ac:dyDescent="0.25">
      <c r="J80" s="11" t="s">
        <v>24</v>
      </c>
      <c r="K80" s="10">
        <f>Data!J5</f>
        <v>72295.270000000019</v>
      </c>
      <c r="L80" s="10">
        <f>Data!J40</f>
        <v>94797.780000000013</v>
      </c>
      <c r="M80" s="10">
        <f>Data!J22</f>
        <v>82473.67</v>
      </c>
      <c r="N80" s="10">
        <f t="shared" si="3"/>
        <v>-12324.110000000015</v>
      </c>
    </row>
    <row r="81" spans="10:14" x14ac:dyDescent="0.25">
      <c r="J81" s="11" t="s">
        <v>25</v>
      </c>
      <c r="K81" s="10">
        <f>Data!K5</f>
        <v>68495.660000000033</v>
      </c>
      <c r="L81" s="10">
        <f>Data!K40</f>
        <v>89501.500000000015</v>
      </c>
      <c r="M81" s="10">
        <f>Data!K22</f>
        <v>82617.600000000006</v>
      </c>
      <c r="N81" s="10">
        <f t="shared" si="3"/>
        <v>-6883.9000000000087</v>
      </c>
    </row>
    <row r="82" spans="10:14" x14ac:dyDescent="0.25">
      <c r="J82" s="11" t="s">
        <v>26</v>
      </c>
      <c r="K82" s="10">
        <f>Data!L5</f>
        <v>83769.530000000028</v>
      </c>
      <c r="L82" s="10">
        <f>Data!L40</f>
        <v>104547.95000000003</v>
      </c>
      <c r="M82" s="10">
        <f>Data!L22</f>
        <v>98766.06</v>
      </c>
      <c r="N82" s="10">
        <f t="shared" si="3"/>
        <v>-5781.8900000000285</v>
      </c>
    </row>
    <row r="83" spans="10:14" x14ac:dyDescent="0.25">
      <c r="J83" s="11" t="s">
        <v>27</v>
      </c>
      <c r="K83" s="10">
        <f>Data!M5</f>
        <v>78672.660000000033</v>
      </c>
      <c r="L83" s="10">
        <f>Data!M40</f>
        <v>99806.810000000012</v>
      </c>
      <c r="M83" s="10">
        <f>Data!M22</f>
        <v>83855.320000000007</v>
      </c>
      <c r="N83" s="10">
        <f t="shared" si="3"/>
        <v>-15951.490000000005</v>
      </c>
    </row>
    <row r="84" spans="10:14" x14ac:dyDescent="0.25">
      <c r="J84" s="11" t="s">
        <v>28</v>
      </c>
      <c r="K84" s="10">
        <f>Data!N5</f>
        <v>120193.52000000005</v>
      </c>
      <c r="L84" s="10">
        <f>Data!N40</f>
        <v>140684.49000000002</v>
      </c>
      <c r="M84" s="10">
        <f>Data!N22</f>
        <v>116239.61</v>
      </c>
      <c r="N84" s="10">
        <f t="shared" si="3"/>
        <v>-24444.880000000019</v>
      </c>
    </row>
    <row r="85" spans="10:14" x14ac:dyDescent="0.25">
      <c r="J85" s="11" t="s">
        <v>29</v>
      </c>
      <c r="K85" s="10">
        <f>Data!O5</f>
        <v>110068.59000000004</v>
      </c>
      <c r="L85" s="10">
        <f>Data!O40</f>
        <v>128103.87000000001</v>
      </c>
      <c r="M85" s="10">
        <f>Data!O22</f>
        <v>88324.56</v>
      </c>
      <c r="N85" s="10">
        <f t="shared" si="3"/>
        <v>-39779.310000000012</v>
      </c>
    </row>
    <row r="87" spans="10:14" x14ac:dyDescent="0.25">
      <c r="J87" t="s">
        <v>39</v>
      </c>
    </row>
    <row r="94" spans="10:14" ht="15" customHeight="1" x14ac:dyDescent="0.25">
      <c r="J94" s="31" t="s">
        <v>33</v>
      </c>
      <c r="K94" s="30" t="s">
        <v>0</v>
      </c>
      <c r="L94" s="31" t="s">
        <v>14</v>
      </c>
      <c r="M94" s="30" t="s">
        <v>13</v>
      </c>
      <c r="N94" s="30" t="s">
        <v>18</v>
      </c>
    </row>
    <row r="95" spans="10:14" x14ac:dyDescent="0.25">
      <c r="J95" s="31"/>
      <c r="K95" s="30"/>
      <c r="L95" s="31"/>
      <c r="M95" s="30"/>
      <c r="N95" s="30"/>
    </row>
    <row r="96" spans="10:14" x14ac:dyDescent="0.25">
      <c r="J96" s="11" t="s">
        <v>1</v>
      </c>
      <c r="K96" s="10">
        <f>Data!D6</f>
        <v>190542.39999999997</v>
      </c>
      <c r="L96" s="10">
        <f>Data!D41</f>
        <v>190542.39999999997</v>
      </c>
      <c r="M96" s="10">
        <f>Data!D23</f>
        <v>209540.64</v>
      </c>
      <c r="N96" s="10">
        <f t="shared" ref="N96:N107" si="4">IF(M96=0,"",IF(L96=0,M96-K96,M96-L96))</f>
        <v>18998.240000000049</v>
      </c>
    </row>
    <row r="97" spans="10:14" x14ac:dyDescent="0.25">
      <c r="J97" s="11" t="s">
        <v>19</v>
      </c>
      <c r="K97" s="10">
        <f>Data!E6</f>
        <v>169645.01999999996</v>
      </c>
      <c r="L97" s="10">
        <f>Data!E41</f>
        <v>169645.01999999996</v>
      </c>
      <c r="M97" s="10">
        <f>Data!E23</f>
        <v>286235.65999999997</v>
      </c>
      <c r="N97" s="10">
        <f t="shared" si="4"/>
        <v>116590.64000000001</v>
      </c>
    </row>
    <row r="98" spans="10:14" x14ac:dyDescent="0.25">
      <c r="J98" s="11" t="s">
        <v>20</v>
      </c>
      <c r="K98" s="10">
        <f>Data!F6</f>
        <v>174259.01999999996</v>
      </c>
      <c r="L98" s="10">
        <f>Data!F41</f>
        <v>174259.01999999996</v>
      </c>
      <c r="M98" s="10">
        <f>Data!F23</f>
        <v>227845.42</v>
      </c>
      <c r="N98" s="10">
        <f t="shared" si="4"/>
        <v>53586.400000000052</v>
      </c>
    </row>
    <row r="99" spans="10:14" x14ac:dyDescent="0.25">
      <c r="J99" s="11" t="s">
        <v>21</v>
      </c>
      <c r="K99" s="10">
        <f>Data!G6</f>
        <v>151363.63999999996</v>
      </c>
      <c r="L99" s="10">
        <f>Data!G41</f>
        <v>151363.63999999996</v>
      </c>
      <c r="M99" s="10">
        <f>Data!G23</f>
        <v>202070.48</v>
      </c>
      <c r="N99" s="10">
        <f t="shared" si="4"/>
        <v>50706.840000000055</v>
      </c>
    </row>
    <row r="100" spans="10:14" x14ac:dyDescent="0.25">
      <c r="J100" s="11" t="s">
        <v>22</v>
      </c>
      <c r="K100" s="10">
        <f>Data!H6</f>
        <v>138011.12</v>
      </c>
      <c r="L100" s="10">
        <f>Data!H41</f>
        <v>138011.12</v>
      </c>
      <c r="M100" s="10">
        <f>Data!H23</f>
        <v>208728.86</v>
      </c>
      <c r="N100" s="10">
        <f t="shared" si="4"/>
        <v>70717.739999999991</v>
      </c>
    </row>
    <row r="101" spans="10:14" x14ac:dyDescent="0.25">
      <c r="J101" s="11" t="s">
        <v>23</v>
      </c>
      <c r="K101" s="10">
        <f>Data!I6</f>
        <v>113666.18</v>
      </c>
      <c r="L101" s="10">
        <f>Data!I41</f>
        <v>113666.18</v>
      </c>
      <c r="M101" s="10">
        <f>Data!I23</f>
        <v>175307.76</v>
      </c>
      <c r="N101" s="10">
        <f t="shared" si="4"/>
        <v>61641.580000000016</v>
      </c>
    </row>
    <row r="102" spans="10:14" x14ac:dyDescent="0.25">
      <c r="J102" s="11" t="s">
        <v>24</v>
      </c>
      <c r="K102" s="10">
        <f>Data!J6</f>
        <v>82126.069999999949</v>
      </c>
      <c r="L102" s="10">
        <f>Data!J41</f>
        <v>134152.57</v>
      </c>
      <c r="M102" s="10">
        <f>Data!J23</f>
        <v>106929.32</v>
      </c>
      <c r="N102" s="10">
        <f t="shared" si="4"/>
        <v>-27223.25</v>
      </c>
    </row>
    <row r="103" spans="10:14" x14ac:dyDescent="0.25">
      <c r="J103" s="11" t="s">
        <v>25</v>
      </c>
      <c r="K103" s="10">
        <f>Data!K6</f>
        <v>108515.80999999994</v>
      </c>
      <c r="L103" s="10">
        <f>Data!K41</f>
        <v>158673.71999999997</v>
      </c>
      <c r="M103" s="10">
        <f>Data!K23</f>
        <v>98854.17</v>
      </c>
      <c r="N103" s="10">
        <f t="shared" si="4"/>
        <v>-59819.549999999974</v>
      </c>
    </row>
    <row r="104" spans="10:14" x14ac:dyDescent="0.25">
      <c r="J104" s="11" t="s">
        <v>26</v>
      </c>
      <c r="K104" s="10">
        <f>Data!L6</f>
        <v>116963.56999999989</v>
      </c>
      <c r="L104" s="10">
        <f>Data!L41</f>
        <v>162050.63</v>
      </c>
      <c r="M104" s="10">
        <f>Data!L23</f>
        <v>159664.21</v>
      </c>
      <c r="N104" s="10">
        <f t="shared" si="4"/>
        <v>-2386.4200000000128</v>
      </c>
    </row>
    <row r="105" spans="10:14" x14ac:dyDescent="0.25">
      <c r="J105" s="11" t="s">
        <v>27</v>
      </c>
      <c r="K105" s="10">
        <f>Data!M6</f>
        <v>109069.06999999989</v>
      </c>
      <c r="L105" s="10">
        <f>Data!M41</f>
        <v>159886.32</v>
      </c>
      <c r="M105" s="10">
        <f>Data!M23</f>
        <v>120983.52</v>
      </c>
      <c r="N105" s="10">
        <f t="shared" si="4"/>
        <v>-38902.800000000003</v>
      </c>
    </row>
    <row r="106" spans="10:14" x14ac:dyDescent="0.25">
      <c r="J106" s="11" t="s">
        <v>28</v>
      </c>
      <c r="K106" s="10">
        <f>Data!N6</f>
        <v>208353.10999999987</v>
      </c>
      <c r="L106" s="10">
        <f>Data!N41</f>
        <v>259186.43000000011</v>
      </c>
      <c r="M106" s="10">
        <f>Data!N23</f>
        <v>233590.44</v>
      </c>
      <c r="N106" s="10">
        <f t="shared" si="4"/>
        <v>-25595.990000000107</v>
      </c>
    </row>
    <row r="107" spans="10:14" x14ac:dyDescent="0.25">
      <c r="J107" s="11" t="s">
        <v>29</v>
      </c>
      <c r="K107" s="10">
        <f>Data!O6</f>
        <v>195435.37999999989</v>
      </c>
      <c r="L107" s="10">
        <f>Data!O41</f>
        <v>243748.87000000014</v>
      </c>
      <c r="M107" s="10">
        <f>Data!O23</f>
        <v>174140.54</v>
      </c>
      <c r="N107" s="10">
        <f t="shared" si="4"/>
        <v>-69608.330000000133</v>
      </c>
    </row>
    <row r="109" spans="10:14" x14ac:dyDescent="0.25">
      <c r="J109" t="s">
        <v>39</v>
      </c>
    </row>
    <row r="116" spans="10:14" ht="15" customHeight="1" x14ac:dyDescent="0.25">
      <c r="J116" s="31" t="s">
        <v>5</v>
      </c>
      <c r="K116" s="30" t="s">
        <v>0</v>
      </c>
      <c r="L116" s="31" t="s">
        <v>14</v>
      </c>
      <c r="M116" s="30" t="s">
        <v>13</v>
      </c>
      <c r="N116" s="30" t="s">
        <v>38</v>
      </c>
    </row>
    <row r="117" spans="10:14" x14ac:dyDescent="0.25">
      <c r="J117" s="31"/>
      <c r="K117" s="30"/>
      <c r="L117" s="31"/>
      <c r="M117" s="30"/>
      <c r="N117" s="30"/>
    </row>
    <row r="118" spans="10:14" x14ac:dyDescent="0.25">
      <c r="J118" s="11" t="s">
        <v>1</v>
      </c>
      <c r="K118" s="10">
        <f>Data!D7</f>
        <v>105464.81999999999</v>
      </c>
      <c r="L118" s="10">
        <f>Data!D42</f>
        <v>105464.81999999999</v>
      </c>
      <c r="M118" s="10">
        <f>Data!D24</f>
        <v>120282.14</v>
      </c>
      <c r="N118" s="10">
        <f t="shared" ref="N118:N129" si="5">IF(M118=0,"",IF(L118=0,M118-K118,M118-L118))</f>
        <v>14817.320000000007</v>
      </c>
    </row>
    <row r="119" spans="10:14" x14ac:dyDescent="0.25">
      <c r="J119" s="11" t="s">
        <v>19</v>
      </c>
      <c r="K119" s="10">
        <f>Data!E7</f>
        <v>102813.5</v>
      </c>
      <c r="L119" s="10">
        <f>Data!E42</f>
        <v>102813.5</v>
      </c>
      <c r="M119" s="10">
        <f>Data!E24</f>
        <v>112184.85</v>
      </c>
      <c r="N119" s="10">
        <f t="shared" si="5"/>
        <v>9371.3500000000058</v>
      </c>
    </row>
    <row r="120" spans="10:14" x14ac:dyDescent="0.25">
      <c r="J120" s="11" t="s">
        <v>20</v>
      </c>
      <c r="K120" s="10">
        <f>Data!F7</f>
        <v>104906.28999999998</v>
      </c>
      <c r="L120" s="10">
        <f>Data!F42</f>
        <v>104906.28999999998</v>
      </c>
      <c r="M120" s="10">
        <f>Data!F24</f>
        <v>115726.73</v>
      </c>
      <c r="N120" s="10">
        <f t="shared" si="5"/>
        <v>10820.440000000017</v>
      </c>
    </row>
    <row r="121" spans="10:14" x14ac:dyDescent="0.25">
      <c r="J121" s="11" t="s">
        <v>21</v>
      </c>
      <c r="K121" s="10">
        <f>Data!G7</f>
        <v>99140.449999999968</v>
      </c>
      <c r="L121" s="10">
        <f>Data!G42</f>
        <v>99140.449999999968</v>
      </c>
      <c r="M121" s="10">
        <f>Data!G24</f>
        <v>117926.54</v>
      </c>
      <c r="N121" s="10">
        <f t="shared" si="5"/>
        <v>18786.090000000026</v>
      </c>
    </row>
    <row r="122" spans="10:14" x14ac:dyDescent="0.25">
      <c r="J122" s="11" t="s">
        <v>22</v>
      </c>
      <c r="K122" s="10">
        <f>Data!H7</f>
        <v>96941.109999999971</v>
      </c>
      <c r="L122" s="10">
        <f>Data!H42</f>
        <v>96941.109999999971</v>
      </c>
      <c r="M122" s="10">
        <f>Data!H24</f>
        <v>129059.9</v>
      </c>
      <c r="N122" s="10">
        <f t="shared" si="5"/>
        <v>32118.790000000023</v>
      </c>
    </row>
    <row r="123" spans="10:14" x14ac:dyDescent="0.25">
      <c r="J123" s="11" t="s">
        <v>23</v>
      </c>
      <c r="K123" s="10">
        <f>Data!I7</f>
        <v>106938.41999999997</v>
      </c>
      <c r="L123" s="10">
        <f>Data!I42</f>
        <v>106938.41999999997</v>
      </c>
      <c r="M123" s="10">
        <f>Data!I24</f>
        <v>133541.26</v>
      </c>
      <c r="N123" s="10">
        <f t="shared" si="5"/>
        <v>26602.84000000004</v>
      </c>
    </row>
    <row r="124" spans="10:14" x14ac:dyDescent="0.25">
      <c r="J124" s="11" t="s">
        <v>24</v>
      </c>
      <c r="K124" s="10">
        <f>Data!J7</f>
        <v>107823.48999999999</v>
      </c>
      <c r="L124" s="10">
        <f>Data!J42</f>
        <v>134425.36000000002</v>
      </c>
      <c r="M124" s="10">
        <f>Data!J24</f>
        <v>128833.8</v>
      </c>
      <c r="N124" s="10">
        <f t="shared" si="5"/>
        <v>-5591.5600000000122</v>
      </c>
    </row>
    <row r="125" spans="10:14" x14ac:dyDescent="0.25">
      <c r="J125" s="11" t="s">
        <v>25</v>
      </c>
      <c r="K125" s="10">
        <f>Data!K7</f>
        <v>101914.56999999998</v>
      </c>
      <c r="L125" s="10">
        <f>Data!K42</f>
        <v>128430.58000000002</v>
      </c>
      <c r="M125" s="10">
        <f>Data!K24</f>
        <v>181839.17</v>
      </c>
      <c r="N125" s="10">
        <f t="shared" si="5"/>
        <v>53408.59</v>
      </c>
    </row>
    <row r="126" spans="10:14" x14ac:dyDescent="0.25">
      <c r="J126" s="11" t="s">
        <v>26</v>
      </c>
      <c r="K126" s="10">
        <f>Data!L7</f>
        <v>111461.84999999998</v>
      </c>
      <c r="L126" s="10">
        <f>Data!L42</f>
        <v>137892</v>
      </c>
      <c r="M126" s="10">
        <f>Data!L24</f>
        <v>168751.38</v>
      </c>
      <c r="N126" s="10">
        <f t="shared" si="5"/>
        <v>30859.380000000005</v>
      </c>
    </row>
    <row r="127" spans="10:14" x14ac:dyDescent="0.25">
      <c r="J127" s="11" t="s">
        <v>27</v>
      </c>
      <c r="K127" s="10">
        <f>Data!M7</f>
        <v>95685.779999999955</v>
      </c>
      <c r="L127" s="10">
        <f>Data!M42</f>
        <v>122030.06999999998</v>
      </c>
      <c r="M127" s="10">
        <f>Data!M24</f>
        <v>185664.49</v>
      </c>
      <c r="N127" s="10">
        <f t="shared" si="5"/>
        <v>63634.420000000013</v>
      </c>
    </row>
    <row r="128" spans="10:14" x14ac:dyDescent="0.25">
      <c r="J128" s="11" t="s">
        <v>28</v>
      </c>
      <c r="K128" s="10">
        <f>Data!N7</f>
        <v>133292.39999999997</v>
      </c>
      <c r="L128" s="10">
        <f>Data!N42</f>
        <v>159550.84</v>
      </c>
      <c r="M128" s="10">
        <f>Data!N24</f>
        <v>179726.67</v>
      </c>
      <c r="N128" s="10">
        <f t="shared" si="5"/>
        <v>20175.830000000016</v>
      </c>
    </row>
    <row r="129" spans="10:14" x14ac:dyDescent="0.25">
      <c r="J129" s="11" t="s">
        <v>29</v>
      </c>
      <c r="K129" s="10">
        <f>Data!O7</f>
        <v>126007.07999999996</v>
      </c>
      <c r="L129" s="10">
        <f>Data!O42</f>
        <v>152177.35999999999</v>
      </c>
      <c r="M129" s="10">
        <f>Data!O24</f>
        <v>169822.11</v>
      </c>
      <c r="N129" s="10">
        <f t="shared" si="5"/>
        <v>17644.75</v>
      </c>
    </row>
    <row r="131" spans="10:14" x14ac:dyDescent="0.25">
      <c r="J131" t="s">
        <v>39</v>
      </c>
    </row>
    <row r="138" spans="10:14" ht="15" customHeight="1" x14ac:dyDescent="0.25">
      <c r="J138" s="31" t="s">
        <v>6</v>
      </c>
      <c r="K138" s="30" t="s">
        <v>0</v>
      </c>
      <c r="L138" s="31" t="s">
        <v>14</v>
      </c>
      <c r="M138" s="30" t="s">
        <v>13</v>
      </c>
      <c r="N138" s="30" t="s">
        <v>38</v>
      </c>
    </row>
    <row r="139" spans="10:14" x14ac:dyDescent="0.25">
      <c r="J139" s="31"/>
      <c r="K139" s="30"/>
      <c r="L139" s="31"/>
      <c r="M139" s="30"/>
      <c r="N139" s="30"/>
    </row>
    <row r="140" spans="10:14" x14ac:dyDescent="0.25">
      <c r="J140" s="11" t="s">
        <v>1</v>
      </c>
      <c r="K140" s="10">
        <f>Data!D8</f>
        <v>201698.46000000002</v>
      </c>
      <c r="L140" s="10">
        <f>Data!D43</f>
        <v>201698.46000000002</v>
      </c>
      <c r="M140" s="10">
        <f>Data!D25</f>
        <v>211082.39</v>
      </c>
      <c r="N140" s="10">
        <f t="shared" ref="N140:N151" si="6">IF(M140=0,"",IF(L140=0,M140-K140,M140-L140))</f>
        <v>9383.929999999993</v>
      </c>
    </row>
    <row r="141" spans="10:14" x14ac:dyDescent="0.25">
      <c r="J141" s="11" t="s">
        <v>19</v>
      </c>
      <c r="K141" s="10">
        <f>Data!E8</f>
        <v>208621.47000000003</v>
      </c>
      <c r="L141" s="10">
        <f>Data!E43</f>
        <v>208621.47000000003</v>
      </c>
      <c r="M141" s="10">
        <f>Data!E25</f>
        <v>239412.94</v>
      </c>
      <c r="N141" s="10">
        <f t="shared" si="6"/>
        <v>30791.469999999972</v>
      </c>
    </row>
    <row r="142" spans="10:14" x14ac:dyDescent="0.25">
      <c r="J142" s="11" t="s">
        <v>20</v>
      </c>
      <c r="K142" s="10">
        <f>Data!F8</f>
        <v>208638.39</v>
      </c>
      <c r="L142" s="10">
        <f>Data!F43</f>
        <v>208638.39</v>
      </c>
      <c r="M142" s="10">
        <f>Data!F25</f>
        <v>227873.19999999998</v>
      </c>
      <c r="N142" s="10">
        <f t="shared" si="6"/>
        <v>19234.809999999969</v>
      </c>
    </row>
    <row r="143" spans="10:14" x14ac:dyDescent="0.25">
      <c r="J143" s="11" t="s">
        <v>21</v>
      </c>
      <c r="K143" s="10">
        <f>Data!G8</f>
        <v>199040.48</v>
      </c>
      <c r="L143" s="10">
        <f>Data!G43</f>
        <v>199040.48</v>
      </c>
      <c r="M143" s="10">
        <f>Data!G25</f>
        <v>217067.81</v>
      </c>
      <c r="N143" s="10">
        <f t="shared" si="6"/>
        <v>18027.329999999987</v>
      </c>
    </row>
    <row r="144" spans="10:14" x14ac:dyDescent="0.25">
      <c r="J144" s="11" t="s">
        <v>22</v>
      </c>
      <c r="K144" s="10">
        <f>Data!H8</f>
        <v>209531.47000000003</v>
      </c>
      <c r="L144" s="10">
        <f>Data!H43</f>
        <v>209531.47000000003</v>
      </c>
      <c r="M144" s="10">
        <f>Data!H25</f>
        <v>224766.64</v>
      </c>
      <c r="N144" s="10">
        <f t="shared" si="6"/>
        <v>15235.169999999984</v>
      </c>
    </row>
    <row r="145" spans="10:14" x14ac:dyDescent="0.25">
      <c r="J145" s="11" t="s">
        <v>23</v>
      </c>
      <c r="K145" s="10">
        <f>Data!I8</f>
        <v>199008.35000000003</v>
      </c>
      <c r="L145" s="10">
        <f>Data!I43</f>
        <v>199008.35000000003</v>
      </c>
      <c r="M145" s="10">
        <f>Data!I25</f>
        <v>216117.28</v>
      </c>
      <c r="N145" s="10">
        <f t="shared" si="6"/>
        <v>17108.929999999964</v>
      </c>
    </row>
    <row r="146" spans="10:14" x14ac:dyDescent="0.25">
      <c r="J146" s="11" t="s">
        <v>24</v>
      </c>
      <c r="K146" s="10">
        <f>Data!J8</f>
        <v>181756.28999999998</v>
      </c>
      <c r="L146" s="10">
        <f>Data!J43</f>
        <v>210454.22</v>
      </c>
      <c r="M146" s="10">
        <f>Data!J25</f>
        <v>186037</v>
      </c>
      <c r="N146" s="10">
        <f t="shared" si="6"/>
        <v>-24417.22</v>
      </c>
    </row>
    <row r="147" spans="10:14" x14ac:dyDescent="0.25">
      <c r="J147" s="11" t="s">
        <v>25</v>
      </c>
      <c r="K147" s="10">
        <f>Data!K8</f>
        <v>189260.94999999995</v>
      </c>
      <c r="L147" s="10">
        <f>Data!K43</f>
        <v>222704.96</v>
      </c>
      <c r="M147" s="10">
        <f>Data!K25</f>
        <v>190512.16</v>
      </c>
      <c r="N147" s="10">
        <f t="shared" si="6"/>
        <v>-32192.799999999988</v>
      </c>
    </row>
    <row r="148" spans="10:14" x14ac:dyDescent="0.25">
      <c r="J148" s="11" t="s">
        <v>26</v>
      </c>
      <c r="K148" s="10">
        <f>Data!L8</f>
        <v>191007.59999999998</v>
      </c>
      <c r="L148" s="10">
        <f>Data!L43</f>
        <v>214117.59999999998</v>
      </c>
      <c r="M148" s="10">
        <f>Data!L25</f>
        <v>216763.57</v>
      </c>
      <c r="N148" s="10">
        <f t="shared" si="6"/>
        <v>2645.9700000000303</v>
      </c>
    </row>
    <row r="149" spans="10:14" x14ac:dyDescent="0.25">
      <c r="J149" s="11" t="s">
        <v>27</v>
      </c>
      <c r="K149" s="10">
        <f>Data!M8</f>
        <v>186538.81999999998</v>
      </c>
      <c r="L149" s="10">
        <f>Data!M43</f>
        <v>214493.06</v>
      </c>
      <c r="M149" s="10">
        <f>Data!M25</f>
        <v>209406.92</v>
      </c>
      <c r="N149" s="10">
        <f t="shared" si="6"/>
        <v>-5086.1399999999849</v>
      </c>
    </row>
    <row r="150" spans="10:14" x14ac:dyDescent="0.25">
      <c r="J150" s="11" t="s">
        <v>28</v>
      </c>
      <c r="K150" s="10">
        <f>Data!N8</f>
        <v>224911.99</v>
      </c>
      <c r="L150" s="10">
        <f>Data!N43</f>
        <v>252304.4</v>
      </c>
      <c r="M150" s="10">
        <f>Data!N25</f>
        <v>250100.6</v>
      </c>
      <c r="N150" s="10">
        <f t="shared" si="6"/>
        <v>-2203.7999999999884</v>
      </c>
    </row>
    <row r="151" spans="10:14" x14ac:dyDescent="0.25">
      <c r="J151" s="11" t="s">
        <v>29</v>
      </c>
      <c r="K151" s="10">
        <f>Data!O8</f>
        <v>211465.41000000003</v>
      </c>
      <c r="L151" s="10">
        <f>Data!O43</f>
        <v>242836.90999999997</v>
      </c>
      <c r="M151" s="10">
        <f>Data!O25</f>
        <v>239449.31</v>
      </c>
      <c r="N151" s="10">
        <f t="shared" si="6"/>
        <v>-3387.5999999999767</v>
      </c>
    </row>
    <row r="153" spans="10:14" x14ac:dyDescent="0.25">
      <c r="J153" t="s">
        <v>39</v>
      </c>
    </row>
    <row r="160" spans="10:14" ht="15" customHeight="1" x14ac:dyDescent="0.25">
      <c r="J160" s="31" t="s">
        <v>32</v>
      </c>
      <c r="K160" s="30" t="s">
        <v>0</v>
      </c>
      <c r="L160" s="31" t="s">
        <v>14</v>
      </c>
      <c r="M160" s="30" t="s">
        <v>13</v>
      </c>
      <c r="N160" s="30" t="s">
        <v>38</v>
      </c>
    </row>
    <row r="161" spans="10:14" x14ac:dyDescent="0.25">
      <c r="J161" s="31"/>
      <c r="K161" s="30"/>
      <c r="L161" s="31"/>
      <c r="M161" s="30"/>
      <c r="N161" s="30"/>
    </row>
    <row r="162" spans="10:14" x14ac:dyDescent="0.25">
      <c r="J162" s="11" t="s">
        <v>1</v>
      </c>
      <c r="K162" s="10">
        <f>Data!D9</f>
        <v>52963.550000000017</v>
      </c>
      <c r="L162" s="10">
        <f>Data!D44</f>
        <v>52963.550000000017</v>
      </c>
      <c r="M162" s="10">
        <f>Data!D26</f>
        <v>89155.87</v>
      </c>
      <c r="N162" s="10">
        <f t="shared" ref="N162:N173" si="7">IF(M162=0,"",IF(L162=0,M162-K162,M162-L162))</f>
        <v>36192.319999999978</v>
      </c>
    </row>
    <row r="163" spans="10:14" x14ac:dyDescent="0.25">
      <c r="J163" s="11" t="s">
        <v>19</v>
      </c>
      <c r="K163" s="10">
        <f>Data!E9</f>
        <v>84763.260000000068</v>
      </c>
      <c r="L163" s="10">
        <f>Data!E44</f>
        <v>84763.260000000068</v>
      </c>
      <c r="M163" s="10">
        <f>Data!E26</f>
        <v>130642.37</v>
      </c>
      <c r="N163" s="10">
        <f t="shared" si="7"/>
        <v>45879.109999999928</v>
      </c>
    </row>
    <row r="164" spans="10:14" x14ac:dyDescent="0.25">
      <c r="J164" s="11" t="s">
        <v>20</v>
      </c>
      <c r="K164" s="10">
        <f>Data!F9</f>
        <v>85571.780000000072</v>
      </c>
      <c r="L164" s="10">
        <f>Data!F44</f>
        <v>85571.780000000072</v>
      </c>
      <c r="M164" s="10">
        <f>Data!F26</f>
        <v>91564.109999999986</v>
      </c>
      <c r="N164" s="10">
        <f t="shared" si="7"/>
        <v>5992.3299999999144</v>
      </c>
    </row>
    <row r="165" spans="10:14" x14ac:dyDescent="0.25">
      <c r="J165" s="11" t="s">
        <v>21</v>
      </c>
      <c r="K165" s="10">
        <f>Data!G9</f>
        <v>64199.140000000043</v>
      </c>
      <c r="L165" s="10">
        <f>Data!G44</f>
        <v>64199.140000000043</v>
      </c>
      <c r="M165" s="10">
        <f>Data!G26</f>
        <v>2088.8300000000017</v>
      </c>
      <c r="N165" s="10">
        <f t="shared" si="7"/>
        <v>-62110.310000000041</v>
      </c>
    </row>
    <row r="166" spans="10:14" x14ac:dyDescent="0.25">
      <c r="J166" s="11" t="s">
        <v>22</v>
      </c>
      <c r="K166" s="10">
        <f>Data!H9</f>
        <v>67718.730000000069</v>
      </c>
      <c r="L166" s="10">
        <f>Data!H44</f>
        <v>67718.730000000069</v>
      </c>
      <c r="M166" s="10">
        <f>Data!H26</f>
        <v>122918.19</v>
      </c>
      <c r="N166" s="10">
        <f t="shared" si="7"/>
        <v>55199.459999999934</v>
      </c>
    </row>
    <row r="167" spans="10:14" x14ac:dyDescent="0.25">
      <c r="J167" s="11" t="s">
        <v>23</v>
      </c>
      <c r="K167" s="10">
        <f>Data!I9</f>
        <v>81348.140000000087</v>
      </c>
      <c r="L167" s="10">
        <f>Data!I44</f>
        <v>81348.140000000087</v>
      </c>
      <c r="M167" s="10">
        <f>Data!I26</f>
        <v>88244.78</v>
      </c>
      <c r="N167" s="10">
        <f t="shared" si="7"/>
        <v>6896.6399999999121</v>
      </c>
    </row>
    <row r="168" spans="10:14" x14ac:dyDescent="0.25">
      <c r="J168" s="11" t="s">
        <v>24</v>
      </c>
      <c r="K168" s="10">
        <f>Data!J9</f>
        <v>53741.45000000007</v>
      </c>
      <c r="L168" s="10">
        <f>Data!J44</f>
        <v>30936.869999999937</v>
      </c>
      <c r="M168" s="10">
        <f>Data!J26</f>
        <v>59399.9</v>
      </c>
      <c r="N168" s="10">
        <f t="shared" si="7"/>
        <v>28463.030000000064</v>
      </c>
    </row>
    <row r="169" spans="10:14" x14ac:dyDescent="0.25">
      <c r="J169" s="11" t="s">
        <v>25</v>
      </c>
      <c r="K169" s="10">
        <f>Data!K9</f>
        <v>62158.640000000072</v>
      </c>
      <c r="L169" s="10">
        <f>Data!K44</f>
        <v>51904.769999999931</v>
      </c>
      <c r="M169" s="10">
        <f>Data!K26</f>
        <v>46586.9</v>
      </c>
      <c r="N169" s="10">
        <f t="shared" si="7"/>
        <v>-5317.8699999999299</v>
      </c>
    </row>
    <row r="170" spans="10:14" x14ac:dyDescent="0.25">
      <c r="J170" s="11" t="s">
        <v>26</v>
      </c>
      <c r="K170" s="10">
        <f>Data!L9</f>
        <v>65479.010000000068</v>
      </c>
      <c r="L170" s="10">
        <f>Data!L44</f>
        <v>57363.739999999932</v>
      </c>
      <c r="M170" s="10">
        <f>Data!L26</f>
        <v>77483.72</v>
      </c>
      <c r="N170" s="10">
        <f t="shared" si="7"/>
        <v>20119.980000000069</v>
      </c>
    </row>
    <row r="171" spans="10:14" x14ac:dyDescent="0.25">
      <c r="J171" s="11" t="s">
        <v>27</v>
      </c>
      <c r="K171" s="10">
        <f>Data!M9</f>
        <v>36501.860000000073</v>
      </c>
      <c r="L171" s="10">
        <f>Data!M44</f>
        <v>12975.099999999919</v>
      </c>
      <c r="M171" s="10">
        <f>Data!M26</f>
        <v>74574.149999999994</v>
      </c>
      <c r="N171" s="10">
        <f t="shared" si="7"/>
        <v>61599.050000000076</v>
      </c>
    </row>
    <row r="172" spans="10:14" x14ac:dyDescent="0.25">
      <c r="J172" s="11" t="s">
        <v>28</v>
      </c>
      <c r="K172" s="10">
        <f>Data!N9</f>
        <v>124590.39000000004</v>
      </c>
      <c r="L172" s="10">
        <f>Data!N44</f>
        <v>96967.609999999899</v>
      </c>
      <c r="M172" s="10">
        <f>Data!N26</f>
        <v>127872.38</v>
      </c>
      <c r="N172" s="10">
        <f t="shared" si="7"/>
        <v>30904.770000000106</v>
      </c>
    </row>
    <row r="173" spans="10:14" x14ac:dyDescent="0.25">
      <c r="J173" s="11" t="s">
        <v>29</v>
      </c>
      <c r="K173" s="10">
        <f>Data!O9</f>
        <v>109907.25000000003</v>
      </c>
      <c r="L173" s="10">
        <f>Data!O44</f>
        <v>89340.379999999917</v>
      </c>
      <c r="M173" s="10">
        <f>Data!O26</f>
        <v>41630.269999999997</v>
      </c>
      <c r="N173" s="10">
        <f t="shared" si="7"/>
        <v>-47710.109999999921</v>
      </c>
    </row>
    <row r="175" spans="10:14" x14ac:dyDescent="0.25">
      <c r="J175" t="s">
        <v>39</v>
      </c>
    </row>
    <row r="182" spans="10:14" ht="15" customHeight="1" x14ac:dyDescent="0.25">
      <c r="J182" s="31" t="s">
        <v>31</v>
      </c>
      <c r="K182" s="30" t="s">
        <v>0</v>
      </c>
      <c r="L182" s="31" t="s">
        <v>14</v>
      </c>
      <c r="M182" s="30" t="s">
        <v>13</v>
      </c>
      <c r="N182" s="30" t="s">
        <v>38</v>
      </c>
    </row>
    <row r="183" spans="10:14" x14ac:dyDescent="0.25">
      <c r="J183" s="31"/>
      <c r="K183" s="30"/>
      <c r="L183" s="31"/>
      <c r="M183" s="30"/>
      <c r="N183" s="30"/>
    </row>
    <row r="184" spans="10:14" x14ac:dyDescent="0.25">
      <c r="J184" s="11" t="s">
        <v>1</v>
      </c>
      <c r="K184" s="10">
        <f>Data!D10</f>
        <v>294708.13999999996</v>
      </c>
      <c r="L184" s="10">
        <f>Data!D45</f>
        <v>294708.13999999996</v>
      </c>
      <c r="M184" s="10">
        <f>Data!D27</f>
        <v>280957.46999999997</v>
      </c>
      <c r="N184" s="10">
        <f t="shared" ref="N184:N195" si="8">IF(M184=0,"",IF(L184=0,M184-K184,M184-L184))</f>
        <v>-13750.669999999984</v>
      </c>
    </row>
    <row r="185" spans="10:14" x14ac:dyDescent="0.25">
      <c r="J185" s="11" t="s">
        <v>19</v>
      </c>
      <c r="K185" s="10">
        <f>Data!E10</f>
        <v>307831.44999999995</v>
      </c>
      <c r="L185" s="10">
        <f>Data!E45</f>
        <v>307831.44999999995</v>
      </c>
      <c r="M185" s="10">
        <f>Data!E27</f>
        <v>466514.26</v>
      </c>
      <c r="N185" s="10">
        <f t="shared" si="8"/>
        <v>158682.81000000006</v>
      </c>
    </row>
    <row r="186" spans="10:14" x14ac:dyDescent="0.25">
      <c r="J186" s="11" t="s">
        <v>20</v>
      </c>
      <c r="K186" s="10">
        <f>Data!F10</f>
        <v>307221.39999999991</v>
      </c>
      <c r="L186" s="10">
        <f>Data!F45</f>
        <v>307221.39999999991</v>
      </c>
      <c r="M186" s="10">
        <f>Data!F27</f>
        <v>443196.34</v>
      </c>
      <c r="N186" s="10">
        <f t="shared" si="8"/>
        <v>135974.94000000012</v>
      </c>
    </row>
    <row r="187" spans="10:14" x14ac:dyDescent="0.25">
      <c r="J187" s="11" t="s">
        <v>21</v>
      </c>
      <c r="K187" s="10">
        <f>Data!G10</f>
        <v>288986.93999999994</v>
      </c>
      <c r="L187" s="10">
        <f>Data!G45</f>
        <v>288986.93999999994</v>
      </c>
      <c r="M187" s="10">
        <f>Data!G27</f>
        <v>418397.25</v>
      </c>
      <c r="N187" s="10">
        <f t="shared" si="8"/>
        <v>129410.31000000006</v>
      </c>
    </row>
    <row r="188" spans="10:14" x14ac:dyDescent="0.25">
      <c r="J188" s="11" t="s">
        <v>22</v>
      </c>
      <c r="K188" s="10">
        <f>Data!H10</f>
        <v>285047.18999999994</v>
      </c>
      <c r="L188" s="10">
        <f>Data!H45</f>
        <v>285047.18999999994</v>
      </c>
      <c r="M188" s="10">
        <f>Data!H27</f>
        <v>429144.12</v>
      </c>
      <c r="N188" s="10">
        <f t="shared" si="8"/>
        <v>144096.93000000005</v>
      </c>
    </row>
    <row r="189" spans="10:14" x14ac:dyDescent="0.25">
      <c r="J189" s="11" t="s">
        <v>23</v>
      </c>
      <c r="K189" s="10">
        <f>Data!I10</f>
        <v>264850.12</v>
      </c>
      <c r="L189" s="10">
        <f>Data!I45</f>
        <v>264850.12</v>
      </c>
      <c r="M189" s="10">
        <f>Data!I27</f>
        <v>432573.95</v>
      </c>
      <c r="N189" s="10">
        <f t="shared" si="8"/>
        <v>167723.83000000002</v>
      </c>
    </row>
    <row r="190" spans="10:14" x14ac:dyDescent="0.25">
      <c r="J190" s="11" t="s">
        <v>24</v>
      </c>
      <c r="K190" s="10">
        <f>Data!J10</f>
        <v>226382.61000000004</v>
      </c>
      <c r="L190" s="10">
        <f>Data!J45</f>
        <v>404060.57999999996</v>
      </c>
      <c r="M190" s="10">
        <f>Data!J27</f>
        <v>339052.33</v>
      </c>
      <c r="N190" s="10">
        <f t="shared" si="8"/>
        <v>-65008.249999999942</v>
      </c>
    </row>
    <row r="191" spans="10:14" x14ac:dyDescent="0.25">
      <c r="J191" s="11" t="s">
        <v>25</v>
      </c>
      <c r="K191" s="10">
        <f>Data!K10</f>
        <v>224681.10000000006</v>
      </c>
      <c r="L191" s="10">
        <f>Data!K45</f>
        <v>406810.30999999994</v>
      </c>
      <c r="M191" s="10">
        <f>Data!K27</f>
        <v>357001.49</v>
      </c>
      <c r="N191" s="10">
        <f t="shared" si="8"/>
        <v>-49808.819999999949</v>
      </c>
    </row>
    <row r="192" spans="10:14" x14ac:dyDescent="0.25">
      <c r="J192" s="11" t="s">
        <v>26</v>
      </c>
      <c r="K192" s="10">
        <f>Data!L10</f>
        <v>210675.20000000007</v>
      </c>
      <c r="L192" s="10">
        <f>Data!L45</f>
        <v>390157.62999999995</v>
      </c>
      <c r="M192" s="10">
        <f>Data!L27</f>
        <v>387184.95</v>
      </c>
      <c r="N192" s="10">
        <f t="shared" si="8"/>
        <v>-2972.6799999999348</v>
      </c>
    </row>
    <row r="193" spans="10:14" x14ac:dyDescent="0.25">
      <c r="J193" s="11" t="s">
        <v>27</v>
      </c>
      <c r="K193" s="10">
        <f>Data!M10</f>
        <v>202273.75000000009</v>
      </c>
      <c r="L193" s="10">
        <f>Data!M45</f>
        <v>389633.68999999994</v>
      </c>
      <c r="M193" s="10">
        <f>Data!M27</f>
        <v>394045.6</v>
      </c>
      <c r="N193" s="10">
        <f t="shared" si="8"/>
        <v>4411.9100000000326</v>
      </c>
    </row>
    <row r="194" spans="10:14" x14ac:dyDescent="0.25">
      <c r="J194" s="11" t="s">
        <v>28</v>
      </c>
      <c r="K194" s="10">
        <f>Data!N10</f>
        <v>273567.03000000003</v>
      </c>
      <c r="L194" s="10">
        <f>Data!N45</f>
        <v>467695.90999999992</v>
      </c>
      <c r="M194" s="10">
        <f>Data!N27</f>
        <v>302383.78000000003</v>
      </c>
      <c r="N194" s="10">
        <f t="shared" si="8"/>
        <v>-165312.12999999989</v>
      </c>
    </row>
    <row r="195" spans="10:14" x14ac:dyDescent="0.25">
      <c r="J195" s="11" t="s">
        <v>29</v>
      </c>
      <c r="K195" s="10">
        <f>Data!O10</f>
        <v>312012.30000000005</v>
      </c>
      <c r="L195" s="10">
        <f>Data!O45</f>
        <v>500432.09999999986</v>
      </c>
      <c r="M195" s="10">
        <f>Data!O27</f>
        <v>310854.98</v>
      </c>
      <c r="N195" s="10">
        <f t="shared" si="8"/>
        <v>-189577.11999999988</v>
      </c>
    </row>
    <row r="197" spans="10:14" x14ac:dyDescent="0.25">
      <c r="J197" t="s">
        <v>39</v>
      </c>
    </row>
    <row r="204" spans="10:14" ht="15" customHeight="1" x14ac:dyDescent="0.25">
      <c r="J204" s="32" t="s">
        <v>9</v>
      </c>
      <c r="K204" s="30" t="s">
        <v>0</v>
      </c>
      <c r="L204" s="31" t="s">
        <v>14</v>
      </c>
      <c r="M204" s="30" t="s">
        <v>13</v>
      </c>
      <c r="N204" s="30" t="s">
        <v>38</v>
      </c>
    </row>
    <row r="205" spans="10:14" x14ac:dyDescent="0.25">
      <c r="J205" s="33"/>
      <c r="K205" s="30"/>
      <c r="L205" s="31"/>
      <c r="M205" s="30"/>
      <c r="N205" s="30"/>
    </row>
    <row r="206" spans="10:14" x14ac:dyDescent="0.25">
      <c r="J206" s="11" t="s">
        <v>1</v>
      </c>
      <c r="K206" s="10">
        <f>Data!D11</f>
        <v>281995.93999999994</v>
      </c>
      <c r="L206" s="10">
        <f>Data!D46</f>
        <v>281995.93999999994</v>
      </c>
      <c r="M206" s="10">
        <f>Data!D28</f>
        <v>272634.78999999998</v>
      </c>
      <c r="N206" s="10">
        <f t="shared" ref="N206:N217" si="9">IF(M206=0,"",IF(L206=0,M206-K206,M206-L206))</f>
        <v>-9361.1499999999651</v>
      </c>
    </row>
    <row r="207" spans="10:14" x14ac:dyDescent="0.25">
      <c r="J207" s="11" t="s">
        <v>19</v>
      </c>
      <c r="K207" s="10">
        <f>Data!E11</f>
        <v>308831.14999999991</v>
      </c>
      <c r="L207" s="10">
        <f>Data!E46</f>
        <v>308831.14999999991</v>
      </c>
      <c r="M207" s="10">
        <f>Data!E28</f>
        <v>335233.59999999998</v>
      </c>
      <c r="N207" s="10">
        <f t="shared" si="9"/>
        <v>26402.45000000007</v>
      </c>
    </row>
    <row r="208" spans="10:14" x14ac:dyDescent="0.25">
      <c r="J208" s="11" t="s">
        <v>20</v>
      </c>
      <c r="K208" s="10">
        <f>Data!F11</f>
        <v>332043.35999999993</v>
      </c>
      <c r="L208" s="10">
        <f>Data!F46</f>
        <v>332043.35999999993</v>
      </c>
      <c r="M208" s="10">
        <f>Data!F28</f>
        <v>379087.15</v>
      </c>
      <c r="N208" s="10">
        <f t="shared" si="9"/>
        <v>47043.790000000095</v>
      </c>
    </row>
    <row r="209" spans="10:14" x14ac:dyDescent="0.25">
      <c r="J209" s="11" t="s">
        <v>21</v>
      </c>
      <c r="K209" s="10">
        <f>Data!G11</f>
        <v>204507.03999999995</v>
      </c>
      <c r="L209" s="10">
        <f>Data!G46</f>
        <v>204507.03999999995</v>
      </c>
      <c r="M209" s="10">
        <f>Data!G28</f>
        <v>218579.07</v>
      </c>
      <c r="N209" s="10">
        <f t="shared" si="9"/>
        <v>14072.030000000057</v>
      </c>
    </row>
    <row r="210" spans="10:14" x14ac:dyDescent="0.25">
      <c r="J210" s="11" t="s">
        <v>22</v>
      </c>
      <c r="K210" s="10">
        <f>Data!H11</f>
        <v>145184</v>
      </c>
      <c r="L210" s="10">
        <f>Data!H46</f>
        <v>145184</v>
      </c>
      <c r="M210" s="10">
        <f>Data!H28</f>
        <v>166034.67000000001</v>
      </c>
      <c r="N210" s="10">
        <f t="shared" si="9"/>
        <v>20850.670000000013</v>
      </c>
    </row>
    <row r="211" spans="10:14" x14ac:dyDescent="0.25">
      <c r="J211" s="11" t="s">
        <v>23</v>
      </c>
      <c r="K211" s="10">
        <f>Data!I11</f>
        <v>160854.32</v>
      </c>
      <c r="L211" s="10">
        <f>Data!I46</f>
        <v>160854.32</v>
      </c>
      <c r="M211" s="10">
        <f>Data!I28</f>
        <v>158504.75</v>
      </c>
      <c r="N211" s="10">
        <f t="shared" si="9"/>
        <v>-2349.570000000007</v>
      </c>
    </row>
    <row r="212" spans="10:14" x14ac:dyDescent="0.25">
      <c r="J212" s="11" t="s">
        <v>24</v>
      </c>
      <c r="K212" s="10">
        <f>Data!J11</f>
        <v>142592</v>
      </c>
      <c r="L212" s="10">
        <f>Data!J46</f>
        <v>141994.68000000002</v>
      </c>
      <c r="M212" s="10">
        <f>Data!J28</f>
        <v>158747.29999999999</v>
      </c>
      <c r="N212" s="10">
        <f t="shared" si="9"/>
        <v>16752.619999999966</v>
      </c>
    </row>
    <row r="213" spans="10:14" x14ac:dyDescent="0.25">
      <c r="J213" s="11" t="s">
        <v>25</v>
      </c>
      <c r="K213" s="10">
        <f>Data!K11</f>
        <v>141812</v>
      </c>
      <c r="L213" s="10">
        <f>Data!K46</f>
        <v>143316.55000000005</v>
      </c>
      <c r="M213" s="10">
        <f>Data!K28</f>
        <v>189219.87</v>
      </c>
      <c r="N213" s="10">
        <f t="shared" si="9"/>
        <v>45903.319999999949</v>
      </c>
    </row>
    <row r="214" spans="10:14" x14ac:dyDescent="0.25">
      <c r="J214" s="11" t="s">
        <v>26</v>
      </c>
      <c r="K214" s="10">
        <f>Data!L11</f>
        <v>160364.51</v>
      </c>
      <c r="L214" s="10">
        <f>Data!L46</f>
        <v>164643.08000000005</v>
      </c>
      <c r="M214" s="10">
        <f>Data!L28</f>
        <v>230636.28</v>
      </c>
      <c r="N214" s="10">
        <f t="shared" si="9"/>
        <v>65993.199999999953</v>
      </c>
    </row>
    <row r="215" spans="10:14" x14ac:dyDescent="0.25">
      <c r="J215" s="11" t="s">
        <v>27</v>
      </c>
      <c r="K215" s="10">
        <f>Data!M11</f>
        <v>143620.12000000002</v>
      </c>
      <c r="L215" s="10">
        <f>Data!M46</f>
        <v>175662.49000000005</v>
      </c>
      <c r="M215" s="10">
        <f>Data!M28</f>
        <v>253785.05</v>
      </c>
      <c r="N215" s="10">
        <f t="shared" si="9"/>
        <v>78122.559999999939</v>
      </c>
    </row>
    <row r="216" spans="10:14" x14ac:dyDescent="0.25">
      <c r="J216" s="11" t="s">
        <v>28</v>
      </c>
      <c r="K216" s="10">
        <f>Data!N11</f>
        <v>205239.67</v>
      </c>
      <c r="L216" s="10">
        <f>Data!N46</f>
        <v>247013.7600000001</v>
      </c>
      <c r="M216" s="10">
        <f>Data!N28</f>
        <v>295304.71999999997</v>
      </c>
      <c r="N216" s="10">
        <f t="shared" si="9"/>
        <v>48290.959999999875</v>
      </c>
    </row>
    <row r="217" spans="10:14" x14ac:dyDescent="0.25">
      <c r="J217" s="11" t="s">
        <v>29</v>
      </c>
      <c r="K217" s="10">
        <f>Data!O11</f>
        <v>189340.19</v>
      </c>
      <c r="L217" s="10">
        <f>Data!O46</f>
        <v>231781.93000000014</v>
      </c>
      <c r="M217" s="10">
        <f>Data!O28</f>
        <v>246098.92</v>
      </c>
      <c r="N217" s="10">
        <f t="shared" si="9"/>
        <v>14316.989999999874</v>
      </c>
    </row>
    <row r="219" spans="10:14" x14ac:dyDescent="0.25">
      <c r="J219" t="s">
        <v>39</v>
      </c>
    </row>
    <row r="226" spans="10:14" ht="15" customHeight="1" x14ac:dyDescent="0.25">
      <c r="J226" s="31" t="s">
        <v>30</v>
      </c>
      <c r="K226" s="30" t="s">
        <v>0</v>
      </c>
      <c r="L226" s="31" t="s">
        <v>14</v>
      </c>
      <c r="M226" s="30" t="s">
        <v>13</v>
      </c>
      <c r="N226" s="30" t="s">
        <v>38</v>
      </c>
    </row>
    <row r="227" spans="10:14" x14ac:dyDescent="0.25">
      <c r="J227" s="31"/>
      <c r="K227" s="30"/>
      <c r="L227" s="31"/>
      <c r="M227" s="30"/>
      <c r="N227" s="30"/>
    </row>
    <row r="228" spans="10:14" x14ac:dyDescent="0.25">
      <c r="J228" s="11" t="s">
        <v>1</v>
      </c>
      <c r="K228" s="10">
        <f>Data!D12</f>
        <v>259231.57</v>
      </c>
      <c r="L228" s="10">
        <f>Data!D47</f>
        <v>259231.57</v>
      </c>
      <c r="M228" s="10">
        <f>Data!D29</f>
        <v>214026.86</v>
      </c>
      <c r="N228" s="10">
        <f t="shared" ref="N228:N239" si="10">IF(M228=0,"",IF(L228=0,M228-K228,M228-L228))</f>
        <v>-45204.710000000021</v>
      </c>
    </row>
    <row r="229" spans="10:14" x14ac:dyDescent="0.25">
      <c r="J229" s="11" t="s">
        <v>19</v>
      </c>
      <c r="K229" s="10">
        <f>Data!E12</f>
        <v>259900.61000000004</v>
      </c>
      <c r="L229" s="10">
        <f>Data!E47</f>
        <v>259900.61000000004</v>
      </c>
      <c r="M229" s="10">
        <f>Data!E29</f>
        <v>197613.44</v>
      </c>
      <c r="N229" s="10">
        <f t="shared" si="10"/>
        <v>-62287.170000000042</v>
      </c>
    </row>
    <row r="230" spans="10:14" x14ac:dyDescent="0.25">
      <c r="J230" s="11" t="s">
        <v>20</v>
      </c>
      <c r="K230" s="10">
        <f>Data!F12</f>
        <v>307959.76</v>
      </c>
      <c r="L230" s="10">
        <f>Data!F47</f>
        <v>307959.76</v>
      </c>
      <c r="M230" s="10">
        <f>Data!F29</f>
        <v>199849.92</v>
      </c>
      <c r="N230" s="10">
        <f t="shared" si="10"/>
        <v>-108109.84</v>
      </c>
    </row>
    <row r="231" spans="10:14" x14ac:dyDescent="0.25">
      <c r="J231" s="11" t="s">
        <v>21</v>
      </c>
      <c r="K231" s="10">
        <f>Data!G12</f>
        <v>199629.83999999997</v>
      </c>
      <c r="L231" s="10">
        <f>Data!G47</f>
        <v>199629.83999999997</v>
      </c>
      <c r="M231" s="10">
        <f>Data!G29</f>
        <v>82770.09</v>
      </c>
      <c r="N231" s="10">
        <f t="shared" si="10"/>
        <v>-116859.74999999997</v>
      </c>
    </row>
    <row r="232" spans="10:14" x14ac:dyDescent="0.25">
      <c r="J232" s="11" t="s">
        <v>22</v>
      </c>
      <c r="K232" s="10">
        <f>Data!H12</f>
        <v>74086.359999999971</v>
      </c>
      <c r="L232" s="10">
        <f>Data!H47</f>
        <v>74086.359999999971</v>
      </c>
      <c r="M232" s="10">
        <f>Data!H29</f>
        <v>69868.990000000005</v>
      </c>
      <c r="N232" s="10">
        <f t="shared" si="10"/>
        <v>-4217.3699999999662</v>
      </c>
    </row>
    <row r="233" spans="10:14" x14ac:dyDescent="0.25">
      <c r="J233" s="11" t="s">
        <v>23</v>
      </c>
      <c r="K233" s="10">
        <f>Data!I12</f>
        <v>102436.12999999995</v>
      </c>
      <c r="L233" s="10">
        <f>Data!I47</f>
        <v>102436.12999999995</v>
      </c>
      <c r="M233" s="10">
        <f>Data!I29</f>
        <v>80149.3</v>
      </c>
      <c r="N233" s="10">
        <f t="shared" si="10"/>
        <v>-22286.829999999944</v>
      </c>
    </row>
    <row r="234" spans="10:14" x14ac:dyDescent="0.25">
      <c r="J234" s="11" t="s">
        <v>24</v>
      </c>
      <c r="K234" s="10">
        <f>Data!J12</f>
        <v>80723.219999999972</v>
      </c>
      <c r="L234" s="10">
        <f>Data!J47</f>
        <v>65836.179999999993</v>
      </c>
      <c r="M234" s="10">
        <f>Data!J29</f>
        <v>23936.42</v>
      </c>
      <c r="N234" s="10">
        <f t="shared" si="10"/>
        <v>-41899.759999999995</v>
      </c>
    </row>
    <row r="235" spans="10:14" x14ac:dyDescent="0.25">
      <c r="J235" s="11" t="s">
        <v>25</v>
      </c>
      <c r="K235" s="10">
        <f>Data!K12</f>
        <v>93041.909999999974</v>
      </c>
      <c r="L235" s="10">
        <f>Data!K47</f>
        <v>84107.099999999977</v>
      </c>
      <c r="M235" s="10">
        <f>Data!K29</f>
        <v>50245.65</v>
      </c>
      <c r="N235" s="10">
        <f t="shared" si="10"/>
        <v>-33861.449999999975</v>
      </c>
    </row>
    <row r="236" spans="10:14" x14ac:dyDescent="0.25">
      <c r="J236" s="11" t="s">
        <v>26</v>
      </c>
      <c r="K236" s="10">
        <f>Data!L12</f>
        <v>75479.109999999986</v>
      </c>
      <c r="L236" s="10">
        <f>Data!L47</f>
        <v>77359.59</v>
      </c>
      <c r="M236" s="10">
        <f>Data!L29</f>
        <v>-41086.160000000003</v>
      </c>
      <c r="N236" s="10">
        <f t="shared" si="10"/>
        <v>-118445.75</v>
      </c>
    </row>
    <row r="237" spans="10:14" x14ac:dyDescent="0.25">
      <c r="J237" s="11" t="s">
        <v>27</v>
      </c>
      <c r="K237" s="10">
        <f>Data!M12</f>
        <v>61647.76999999999</v>
      </c>
      <c r="L237" s="10">
        <f>Data!M47</f>
        <v>72605.439999999973</v>
      </c>
      <c r="M237" s="10">
        <f>Data!M29</f>
        <v>-59095.76</v>
      </c>
      <c r="N237" s="10">
        <f t="shared" si="10"/>
        <v>-131701.19999999998</v>
      </c>
    </row>
    <row r="238" spans="10:14" x14ac:dyDescent="0.25">
      <c r="J238" s="11" t="s">
        <v>28</v>
      </c>
      <c r="K238" s="10">
        <f>Data!N12</f>
        <v>137093.11999999997</v>
      </c>
      <c r="L238" s="10">
        <f>Data!N47</f>
        <v>158072.78999999995</v>
      </c>
      <c r="M238" s="10">
        <f>Data!N29</f>
        <v>112144.34</v>
      </c>
      <c r="N238" s="10">
        <f t="shared" si="10"/>
        <v>-45928.449999999953</v>
      </c>
    </row>
    <row r="239" spans="10:14" x14ac:dyDescent="0.25">
      <c r="J239" s="11" t="s">
        <v>29</v>
      </c>
      <c r="K239" s="10">
        <f>Data!O12</f>
        <v>107185.49999999997</v>
      </c>
      <c r="L239" s="10">
        <f>Data!O47</f>
        <v>136929.08999999994</v>
      </c>
      <c r="M239" s="10">
        <f>Data!O29</f>
        <v>62335.39</v>
      </c>
      <c r="N239" s="10">
        <f t="shared" si="10"/>
        <v>-74593.699999999939</v>
      </c>
    </row>
    <row r="241" spans="10:10" x14ac:dyDescent="0.25">
      <c r="J241" t="s">
        <v>39</v>
      </c>
    </row>
  </sheetData>
  <mergeCells count="56">
    <mergeCell ref="N6:N7"/>
    <mergeCell ref="A1:M1"/>
    <mergeCell ref="J6:J7"/>
    <mergeCell ref="K6:K7"/>
    <mergeCell ref="L6:L7"/>
    <mergeCell ref="M6:M7"/>
    <mergeCell ref="J50:J51"/>
    <mergeCell ref="K50:K51"/>
    <mergeCell ref="L50:L51"/>
    <mergeCell ref="M50:M51"/>
    <mergeCell ref="N50:N51"/>
    <mergeCell ref="J28:J29"/>
    <mergeCell ref="K28:K29"/>
    <mergeCell ref="L28:L29"/>
    <mergeCell ref="M28:M29"/>
    <mergeCell ref="N28:N29"/>
    <mergeCell ref="J94:J95"/>
    <mergeCell ref="K94:K95"/>
    <mergeCell ref="L94:L95"/>
    <mergeCell ref="M94:M95"/>
    <mergeCell ref="N94:N95"/>
    <mergeCell ref="J72:J73"/>
    <mergeCell ref="K72:K73"/>
    <mergeCell ref="L72:L73"/>
    <mergeCell ref="M72:M73"/>
    <mergeCell ref="N72:N73"/>
    <mergeCell ref="J138:J139"/>
    <mergeCell ref="K138:K139"/>
    <mergeCell ref="L138:L139"/>
    <mergeCell ref="M138:M139"/>
    <mergeCell ref="N138:N139"/>
    <mergeCell ref="J116:J117"/>
    <mergeCell ref="K116:K117"/>
    <mergeCell ref="L116:L117"/>
    <mergeCell ref="M116:M117"/>
    <mergeCell ref="N116:N117"/>
    <mergeCell ref="J182:J183"/>
    <mergeCell ref="K182:K183"/>
    <mergeCell ref="L182:L183"/>
    <mergeCell ref="M182:M183"/>
    <mergeCell ref="N182:N183"/>
    <mergeCell ref="J160:J161"/>
    <mergeCell ref="K160:K161"/>
    <mergeCell ref="L160:L161"/>
    <mergeCell ref="M160:M161"/>
    <mergeCell ref="N160:N161"/>
    <mergeCell ref="J226:J227"/>
    <mergeCell ref="K226:K227"/>
    <mergeCell ref="L226:L227"/>
    <mergeCell ref="M226:M227"/>
    <mergeCell ref="N226:N227"/>
    <mergeCell ref="J204:J205"/>
    <mergeCell ref="K204:K205"/>
    <mergeCell ref="L204:L205"/>
    <mergeCell ref="M204:M205"/>
    <mergeCell ref="N204:N205"/>
  </mergeCells>
  <conditionalFormatting sqref="L8:M19">
    <cfRule type="cellIs" dxfId="10" priority="19" operator="equal">
      <formula>0</formula>
    </cfRule>
  </conditionalFormatting>
  <conditionalFormatting sqref="L30:M41">
    <cfRule type="cellIs" dxfId="9" priority="17" operator="equal">
      <formula>0</formula>
    </cfRule>
  </conditionalFormatting>
  <conditionalFormatting sqref="L52:M63">
    <cfRule type="cellIs" dxfId="8" priority="15" operator="equal">
      <formula>0</formula>
    </cfRule>
  </conditionalFormatting>
  <conditionalFormatting sqref="L74:M85">
    <cfRule type="cellIs" dxfId="7" priority="13" operator="equal">
      <formula>0</formula>
    </cfRule>
  </conditionalFormatting>
  <conditionalFormatting sqref="L96:M107">
    <cfRule type="cellIs" dxfId="6" priority="11" operator="equal">
      <formula>0</formula>
    </cfRule>
  </conditionalFormatting>
  <conditionalFormatting sqref="L118:M129">
    <cfRule type="cellIs" dxfId="5" priority="9" operator="equal">
      <formula>0</formula>
    </cfRule>
  </conditionalFormatting>
  <conditionalFormatting sqref="L140:M151">
    <cfRule type="cellIs" dxfId="4" priority="7" operator="equal">
      <formula>0</formula>
    </cfRule>
  </conditionalFormatting>
  <conditionalFormatting sqref="L162:M173">
    <cfRule type="cellIs" dxfId="3" priority="5" operator="equal">
      <formula>0</formula>
    </cfRule>
  </conditionalFormatting>
  <conditionalFormatting sqref="L184:M195">
    <cfRule type="cellIs" dxfId="2" priority="3" operator="equal">
      <formula>0</formula>
    </cfRule>
  </conditionalFormatting>
  <conditionalFormatting sqref="L206:M217">
    <cfRule type="cellIs" dxfId="1" priority="1" operator="equal">
      <formula>0</formula>
    </cfRule>
  </conditionalFormatting>
  <conditionalFormatting sqref="L228:M239">
    <cfRule type="cellIs" dxfId="0" priority="21" operator="equal">
      <formula>0</formula>
    </cfRule>
  </conditionalFormatting>
  <pageMargins left="0.39370078740157483" right="0.39370078740157483" top="0.98425196850393704" bottom="0.78740157480314965" header="0.31496062992125984" footer="0.31496062992125984"/>
  <pageSetup paperSize="9" fitToHeight="0" orientation="landscape" r:id="rId1"/>
  <rowBreaks count="10" manualBreakCount="10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34A5DA-3E9B-40C8-87DA-94325F7B1B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25DC0C-7C4D-4E4F-B0D2-CB3116D24260}">
  <ds:schemaRefs>
    <ds:schemaRef ds:uri="http://schemas.microsoft.com/office/2006/metadata/properties"/>
    <ds:schemaRef ds:uri="http://schemas.microsoft.com/office/infopath/2007/PartnerControls"/>
    <ds:schemaRef ds:uri="b5b2dbc4-238e-4afd-8f35-f09a881f2618"/>
    <ds:schemaRef ds:uri="d0ad26e6-3719-44e0-ab35-13532ab38769"/>
  </ds:schemaRefs>
</ds:datastoreItem>
</file>

<file path=customXml/itemProps3.xml><?xml version="1.0" encoding="utf-8"?>
<ds:datastoreItem xmlns:ds="http://schemas.openxmlformats.org/officeDocument/2006/customXml" ds:itemID="{83C1CCF7-D8FB-44F9-8BEA-DDD3CF4E7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d26e6-3719-44e0-ab35-13532ab38769"/>
    <ds:schemaRef ds:uri="b5b2dbc4-238e-4afd-8f35-f09a881f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Charts</vt:lpstr>
      <vt:lpstr>Charts for individual print</vt:lpstr>
      <vt:lpstr>'Charts for individual print'!Print_Titles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cp:lastPrinted>2026-03-09T15:04:04Z</cp:lastPrinted>
  <dcterms:created xsi:type="dcterms:W3CDTF">2025-02-10T15:41:10Z</dcterms:created>
  <dcterms:modified xsi:type="dcterms:W3CDTF">2026-09-07T11:26:29Z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Order">
    <vt:r8>1603400</vt:r8>
  </property>
  <property fmtid="{D5CDD505-2E9C-101B-9397-08002B2CF9AE}" pid="4" name="MediaServiceImageTags">
    <vt:lpwstr/>
  </property>
</Properties>
</file>